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workbookProtection workbookPassword="DB70" lockStructure="1"/>
  <bookViews>
    <workbookView xWindow="240" yWindow="345" windowWidth="14805" windowHeight="7770" tabRatio="742" firstSheet="1" activeTab="1"/>
  </bookViews>
  <sheets>
    <sheet name="Проверочный лист" sheetId="2" state="veryHidden" r:id="rId1"/>
    <sheet name="ДВН и профосмотр_общая " sheetId="1" r:id="rId2"/>
    <sheet name="ДВН-124н" sheetId="5" r:id="rId3"/>
    <sheet name="профосмотры 124н" sheetId="6" r:id="rId4"/>
    <sheet name="Нацпроект_ДВН_ПО _Ф.12" sheetId="7" r:id="rId5"/>
    <sheet name="период. и предвар. осмотры" sheetId="4" r:id="rId6"/>
  </sheets>
  <definedNames>
    <definedName name="Названия_учреждений">'Проверочный лист'!$B$1:$B$55</definedName>
  </definedNames>
  <calcPr calcId="145621"/>
</workbook>
</file>

<file path=xl/calcChain.xml><?xml version="1.0" encoding="utf-8"?>
<calcChain xmlns="http://schemas.openxmlformats.org/spreadsheetml/2006/main">
  <c r="E9" i="7" l="1"/>
  <c r="A1" i="7"/>
  <c r="E12" i="7"/>
  <c r="C10" i="7"/>
  <c r="C9" i="7"/>
  <c r="C11" i="7" s="1"/>
  <c r="C8" i="7"/>
  <c r="C7" i="7"/>
  <c r="O8" i="5"/>
  <c r="AA11" i="1"/>
  <c r="Y15" i="4"/>
  <c r="S15" i="4"/>
  <c r="U15" i="4"/>
  <c r="V14" i="4"/>
  <c r="W14" i="4"/>
  <c r="Y14" i="4"/>
  <c r="Z14" i="4"/>
  <c r="AA14" i="4"/>
  <c r="AB14" i="4"/>
  <c r="AC14" i="4"/>
  <c r="AD14" i="4"/>
  <c r="AE14" i="4"/>
  <c r="AF14" i="4"/>
  <c r="U14" i="4"/>
  <c r="AE13" i="4"/>
  <c r="AF13" i="4"/>
  <c r="V13" i="4"/>
  <c r="W13" i="4"/>
  <c r="Y13" i="4"/>
  <c r="Z13" i="4"/>
  <c r="AA13" i="4"/>
  <c r="AB13" i="4"/>
  <c r="AC13" i="4"/>
  <c r="AD13" i="4"/>
  <c r="U13" i="4"/>
  <c r="AA12" i="1"/>
  <c r="S16" i="6"/>
  <c r="Y16" i="5"/>
  <c r="U16" i="5" s="1"/>
  <c r="T16" i="5" s="1"/>
  <c r="X16" i="5"/>
  <c r="W16" i="5"/>
  <c r="S15" i="6"/>
  <c r="S14" i="6"/>
  <c r="Y15" i="5"/>
  <c r="X15" i="5"/>
  <c r="W15" i="5"/>
  <c r="Y14" i="5"/>
  <c r="X14" i="5"/>
  <c r="W14" i="5"/>
  <c r="S13" i="6"/>
  <c r="Y13" i="5"/>
  <c r="X13" i="5"/>
  <c r="W13" i="5"/>
  <c r="U13" i="5" s="1"/>
  <c r="Y12" i="5"/>
  <c r="X12" i="5"/>
  <c r="W12" i="5"/>
  <c r="Y11" i="5"/>
  <c r="X11" i="5"/>
  <c r="W11" i="5"/>
  <c r="Y10" i="5"/>
  <c r="X10" i="5"/>
  <c r="W10" i="5"/>
  <c r="Y9" i="5"/>
  <c r="X9" i="5"/>
  <c r="W9" i="5"/>
  <c r="Y8" i="5"/>
  <c r="X8" i="5"/>
  <c r="W8" i="5"/>
  <c r="S12" i="6"/>
  <c r="S11" i="6"/>
  <c r="S10" i="6"/>
  <c r="S8" i="6"/>
  <c r="S9" i="6"/>
  <c r="A1" i="5"/>
  <c r="A1" i="6"/>
  <c r="I8" i="5"/>
  <c r="R8" i="5"/>
  <c r="Q8" i="5"/>
  <c r="P8" i="5"/>
  <c r="N8" i="5"/>
  <c r="B10" i="7" s="1"/>
  <c r="D10" i="7" s="1"/>
  <c r="F10" i="7" s="1"/>
  <c r="M8" i="5"/>
  <c r="B9" i="7" s="1"/>
  <c r="L8" i="5"/>
  <c r="K8" i="5"/>
  <c r="B8" i="7" s="1"/>
  <c r="J8" i="5"/>
  <c r="B7" i="7" s="1"/>
  <c r="H8" i="5"/>
  <c r="G8" i="5"/>
  <c r="F8" i="5"/>
  <c r="E8" i="5"/>
  <c r="D8" i="5"/>
  <c r="C8" i="5"/>
  <c r="B8" i="5"/>
  <c r="T11" i="1"/>
  <c r="B9" i="6" s="1"/>
  <c r="B10" i="6" s="1"/>
  <c r="M11" i="1"/>
  <c r="D11" i="1" s="1"/>
  <c r="B12" i="5" s="1"/>
  <c r="Z11" i="4"/>
  <c r="Y11" i="4"/>
  <c r="X11" i="4"/>
  <c r="W11" i="4"/>
  <c r="V11" i="4"/>
  <c r="U11" i="4"/>
  <c r="Q5" i="4"/>
  <c r="A1" i="4"/>
  <c r="A2" i="4"/>
  <c r="P16" i="4"/>
  <c r="O16" i="4"/>
  <c r="N16" i="4"/>
  <c r="M16" i="4"/>
  <c r="L16" i="4"/>
  <c r="K16" i="4"/>
  <c r="J16" i="4"/>
  <c r="G16" i="4"/>
  <c r="F16" i="4"/>
  <c r="P15" i="4"/>
  <c r="O15" i="4"/>
  <c r="N15" i="4"/>
  <c r="M15" i="4"/>
  <c r="L15" i="4"/>
  <c r="AB11" i="4" s="1"/>
  <c r="K15" i="4"/>
  <c r="J15" i="4"/>
  <c r="G15" i="4"/>
  <c r="F15" i="4"/>
  <c r="P14" i="4"/>
  <c r="O14" i="4"/>
  <c r="N14" i="4"/>
  <c r="M14" i="4"/>
  <c r="L14" i="4"/>
  <c r="K14" i="4"/>
  <c r="J14" i="4"/>
  <c r="G14" i="4"/>
  <c r="F14" i="4"/>
  <c r="H13" i="4"/>
  <c r="Z10" i="4"/>
  <c r="D13" i="4"/>
  <c r="Z16" i="4" s="1"/>
  <c r="H12" i="4"/>
  <c r="Y10" i="4" s="1"/>
  <c r="D12" i="4"/>
  <c r="Y16" i="4" s="1"/>
  <c r="H11" i="4"/>
  <c r="X10" i="4" s="1"/>
  <c r="D11" i="4"/>
  <c r="X16" i="4" s="1"/>
  <c r="H10" i="4"/>
  <c r="W9" i="4"/>
  <c r="D10" i="4"/>
  <c r="D16" i="4" s="1"/>
  <c r="AC16" i="4" s="1"/>
  <c r="H9" i="4"/>
  <c r="V9" i="4" s="1"/>
  <c r="D9" i="4"/>
  <c r="D15" i="4" s="1"/>
  <c r="AB16" i="4" s="1"/>
  <c r="H8" i="4"/>
  <c r="U12" i="4" s="1"/>
  <c r="D8" i="4"/>
  <c r="U16" i="4" s="1"/>
  <c r="W10" i="4"/>
  <c r="W8" i="4"/>
  <c r="V8" i="4"/>
  <c r="H16" i="4"/>
  <c r="V12" i="4"/>
  <c r="U8" i="4"/>
  <c r="W12" i="4"/>
  <c r="Z8" i="4"/>
  <c r="Z12" i="4"/>
  <c r="U9" i="4"/>
  <c r="V16" i="4"/>
  <c r="Z9" i="4"/>
  <c r="R15" i="4"/>
  <c r="Q15" i="4" s="1"/>
  <c r="AA11" i="4" l="1"/>
  <c r="AC11" i="4"/>
  <c r="AC9" i="4"/>
  <c r="S11" i="4"/>
  <c r="R11" i="4" s="1"/>
  <c r="S14" i="4"/>
  <c r="R14" i="4" s="1"/>
  <c r="Q14" i="4" s="1"/>
  <c r="U10" i="5"/>
  <c r="S10" i="5" s="1"/>
  <c r="B13" i="5"/>
  <c r="T10" i="5"/>
  <c r="U9" i="5"/>
  <c r="T9" i="5" s="1"/>
  <c r="U14" i="5"/>
  <c r="S14" i="5" s="1"/>
  <c r="X9" i="4"/>
  <c r="U10" i="4"/>
  <c r="H14" i="4"/>
  <c r="AA10" i="4" s="1"/>
  <c r="Y8" i="4"/>
  <c r="Y12" i="4"/>
  <c r="X8" i="4"/>
  <c r="D8" i="7"/>
  <c r="F8" i="7" s="1"/>
  <c r="X12" i="4"/>
  <c r="AC10" i="4"/>
  <c r="AC8" i="4"/>
  <c r="AC12" i="4"/>
  <c r="H15" i="4"/>
  <c r="Y9" i="4"/>
  <c r="V10" i="4"/>
  <c r="W16" i="4"/>
  <c r="D14" i="4"/>
  <c r="AA16" i="4" s="1"/>
  <c r="S16" i="4" s="1"/>
  <c r="R16" i="4" s="1"/>
  <c r="Q16" i="4" s="1"/>
  <c r="S13" i="4"/>
  <c r="R13" i="4" s="1"/>
  <c r="C12" i="7"/>
  <c r="U12" i="5"/>
  <c r="S12" i="5" s="1"/>
  <c r="S16" i="5"/>
  <c r="U11" i="5"/>
  <c r="T11" i="5" s="1"/>
  <c r="D9" i="7"/>
  <c r="F9" i="7" s="1"/>
  <c r="B11" i="7"/>
  <c r="D11" i="7" s="1"/>
  <c r="F11" i="7" s="1"/>
  <c r="D7" i="7"/>
  <c r="F7" i="7" s="1"/>
  <c r="B12" i="7"/>
  <c r="D12" i="7"/>
  <c r="F12" i="7" s="1"/>
  <c r="T13" i="5"/>
  <c r="S13" i="5" s="1"/>
  <c r="U15" i="5"/>
  <c r="S15" i="5" s="1"/>
  <c r="U8" i="5"/>
  <c r="T8" i="5" s="1"/>
  <c r="Q11" i="4" l="1"/>
  <c r="S9" i="5"/>
  <c r="AA9" i="4"/>
  <c r="T14" i="5"/>
  <c r="AA8" i="4"/>
  <c r="AA12" i="4"/>
  <c r="AB10" i="4"/>
  <c r="S10" i="4" s="1"/>
  <c r="AB9" i="4"/>
  <c r="AB12" i="4"/>
  <c r="AB8" i="4"/>
  <c r="Q13" i="4"/>
  <c r="T12" i="5"/>
  <c r="S11" i="5"/>
  <c r="T15" i="5"/>
  <c r="S8" i="5"/>
  <c r="S12" i="4" l="1"/>
  <c r="Q12" i="4" s="1"/>
  <c r="S9" i="4"/>
  <c r="Q9" i="4" s="1"/>
  <c r="S8" i="4"/>
  <c r="R8" i="4" s="1"/>
  <c r="Q8" i="4" s="1"/>
  <c r="Q10" i="4"/>
  <c r="R10" i="4"/>
  <c r="R12" i="4" l="1"/>
  <c r="R9" i="4"/>
</calcChain>
</file>

<file path=xl/sharedStrings.xml><?xml version="1.0" encoding="utf-8"?>
<sst xmlns="http://schemas.openxmlformats.org/spreadsheetml/2006/main" count="251" uniqueCount="212">
  <si>
    <t>по состоянию на</t>
  </si>
  <si>
    <t>Название учреждения</t>
  </si>
  <si>
    <t>Число граждан, прошедших 1 этап диспансеризации</t>
  </si>
  <si>
    <t>Распределение граждан, прошедших 1 этап диспансеризации, по группам состояния здоровья</t>
  </si>
  <si>
    <t>Число граждан, осмотренных на профилактическом медицинском осмотре</t>
  </si>
  <si>
    <t>всего</t>
  </si>
  <si>
    <t>1 группа (человек)</t>
  </si>
  <si>
    <t>2 группа (человек)</t>
  </si>
  <si>
    <t>3 группа (человек)</t>
  </si>
  <si>
    <t>телефон исполнителя</t>
  </si>
  <si>
    <t>Ф.И.О. главного врача</t>
  </si>
  <si>
    <t>Ф.И.О. исполнителя</t>
  </si>
  <si>
    <t>ГУЗ "Поликлиника № 4"</t>
  </si>
  <si>
    <t>ГУЗ "Клиническая поликлиника № 28"</t>
  </si>
  <si>
    <t>ГУЗ "Поликлиника № 30"</t>
  </si>
  <si>
    <t>ГУЗ "Поликлиника № 5"</t>
  </si>
  <si>
    <t>ГУЗ "Больница № 16"</t>
  </si>
  <si>
    <t>ГУЗ "Больница №22"</t>
  </si>
  <si>
    <t>ГУЗ "КБСМП № 15"</t>
  </si>
  <si>
    <t>ГУЗ "Больница № 24"</t>
  </si>
  <si>
    <t xml:space="preserve">ГУЗ "Поликлиника № 2"  </t>
  </si>
  <si>
    <t>ГУЗ "Поликлиника № 20"</t>
  </si>
  <si>
    <t>ГУЗ "КБ СМП № 7"</t>
  </si>
  <si>
    <t>ГУЗ "Клиническая больница № 11"</t>
  </si>
  <si>
    <t>ГУЗ "Клиническая поликлиника № 1"</t>
  </si>
  <si>
    <t>ГУЗ "Клиническая поликлиника №12"</t>
  </si>
  <si>
    <t>ГУЗ "Клиническая поликлиника №3"</t>
  </si>
  <si>
    <t>ГБУЗ "ГКБ № 1 им. С.З.Фишера"</t>
  </si>
  <si>
    <t>ГБУЗ "Городская клиническая больница №3" (Волжский)</t>
  </si>
  <si>
    <t>ГБУЗ "Городская больница № 2"</t>
  </si>
  <si>
    <t>ГБУЗ "Городская поликлиника №5"</t>
  </si>
  <si>
    <t>ГБУЗ "Алексеевская ЦРБ"</t>
  </si>
  <si>
    <t>ГБУЗ "Быковская ЦРБ"</t>
  </si>
  <si>
    <t>ГБУЗ "Городищенская ЦРБ"</t>
  </si>
  <si>
    <t>ГБУЗ "Даниловская ЦРБ"</t>
  </si>
  <si>
    <t>ГБУЗ "ЦРБ Дубовского муниципального района"</t>
  </si>
  <si>
    <t>ГБУЗ Еланская ЦРБ</t>
  </si>
  <si>
    <t>ГУЗ "Жирновская ЦРБ"</t>
  </si>
  <si>
    <t>ГБУЗ "Иловлинская ЦРБ"</t>
  </si>
  <si>
    <t>ГБУЗ "Калачевская ЦРБ"</t>
  </si>
  <si>
    <t>ГБУЗ г.Камышина "Городская больница № 1"</t>
  </si>
  <si>
    <t>ГБУЗ ЦГБ г.Камышина</t>
  </si>
  <si>
    <t>ГБУЗ "Киквидзенская ЦРБ"</t>
  </si>
  <si>
    <t>ГБУЗ "ЦРБ Клетского муниципального района"</t>
  </si>
  <si>
    <t>ГБУЗ "Котельниковская ЦРБ"</t>
  </si>
  <si>
    <t>ГБУЗ ЦРБ Котовского муниципального района</t>
  </si>
  <si>
    <t>ГБУЗ "Ленинская ЦРБ"</t>
  </si>
  <si>
    <t>ГБУЗ "Михайловская ЦРБ"</t>
  </si>
  <si>
    <t>ГБУЗ "Нехаевская ЦРБ"</t>
  </si>
  <si>
    <t>ГБУЗ "Николаевская ЦРБ"</t>
  </si>
  <si>
    <t>ГБУЗ "Новоаннинская ЦРБ"</t>
  </si>
  <si>
    <t>ГБУЗ "Новониколаевская ЦРБ"</t>
  </si>
  <si>
    <t>ГБУЗ "Октябрьская ЦРБ"</t>
  </si>
  <si>
    <t>ГБУЗ "ЦРБ Ольховского муниципального района"</t>
  </si>
  <si>
    <t xml:space="preserve">ГБУЗ "Палласовская ЦРБ"  </t>
  </si>
  <si>
    <t>ГБУЗ "Кумылженская ЦРБ"</t>
  </si>
  <si>
    <t>ГБУ "ЦРБ Руднянского муниципального района"</t>
  </si>
  <si>
    <t>ГБУЗ "Светлоярская ЦРБ"</t>
  </si>
  <si>
    <t>ГБУЗ "Серафимовичская ЦРБ"</t>
  </si>
  <si>
    <t>ГБУЗ "Среднеахтубинская ЦРБ"</t>
  </si>
  <si>
    <t>ГБУЗ "Старополтавская ЦРБ"</t>
  </si>
  <si>
    <t>ГБУЗ "ЦРБ Суровикинского муниципального района"</t>
  </si>
  <si>
    <t>ГБУЗ Урюпинская ЦРБ</t>
  </si>
  <si>
    <t>ГБУЗ "Фроловская ЦРБ"</t>
  </si>
  <si>
    <t>ГБУЗ "Чернышковская ЦРБ"</t>
  </si>
  <si>
    <t>НУЗ "Отделенческая клиническая больница на ст. Волгоград-1 ОАО "РЖД"</t>
  </si>
  <si>
    <t xml:space="preserve">Число граждан, направлен. на 2 этап </t>
  </si>
  <si>
    <t>(нарастающим итогом)</t>
  </si>
  <si>
    <t>периодические осмотры</t>
  </si>
  <si>
    <t>предварительные осмотры</t>
  </si>
  <si>
    <t>*см. перечень категорий граждан в ф.№131 (таблица 7000 стр.7004)</t>
  </si>
  <si>
    <t>Число граждан, подлежащих  диспансеризации</t>
  </si>
  <si>
    <t>ВСЕГО</t>
  </si>
  <si>
    <t>I группа (человек)</t>
  </si>
  <si>
    <t>II группа (человек)</t>
  </si>
  <si>
    <t>III группа (человек)</t>
  </si>
  <si>
    <t>из них завершили 2 этап</t>
  </si>
  <si>
    <t>III a группа (человек)</t>
  </si>
  <si>
    <t>III б группа (человек)</t>
  </si>
  <si>
    <t>из них:</t>
  </si>
  <si>
    <t>2019 г.</t>
  </si>
  <si>
    <t>Вид осмотров</t>
  </si>
  <si>
    <t>Наименование контингентов</t>
  </si>
  <si>
    <t>из осмотренных всего (из гр.4):</t>
  </si>
  <si>
    <t>№ стр.</t>
  </si>
  <si>
    <t>нуждаются в амбулаторном /стационарном обследовании и лечении</t>
  </si>
  <si>
    <t>из них раб.занят.на тяж.раб.и на раб.с вредн.и опасн.услов.труд.</t>
  </si>
  <si>
    <t>графа 4 равна сумме граф 6 и 7</t>
  </si>
  <si>
    <t>декретированные контингенты</t>
  </si>
  <si>
    <t>гр. 5 меньше гр.4</t>
  </si>
  <si>
    <t>гр. 8 меньше гр.4</t>
  </si>
  <si>
    <t>гр. 8 меньше либо равна гр.5</t>
  </si>
  <si>
    <t>гр. 9 меньше гр.4</t>
  </si>
  <si>
    <t>всего: периодические и предварительные</t>
  </si>
  <si>
    <t>стр. 1 больше либо равна сумме строк 2 и 3</t>
  </si>
  <si>
    <t>стр. 4 больше либо равна сумме строк 5 и 6</t>
  </si>
  <si>
    <t>стр. 7 больше либо равна сумме строк 8 и 9</t>
  </si>
  <si>
    <t>Сведения о числе граждан, прошедших периодические, предварительные осмотры в 2019 году</t>
  </si>
  <si>
    <t>маммография (чел.)</t>
  </si>
  <si>
    <t>Подлежало осмотрам</t>
  </si>
  <si>
    <t>Осмотрено</t>
  </si>
  <si>
    <t>Подлежало осмотрам(в т.ч муж.)</t>
  </si>
  <si>
    <t>Подлежало осмотрам(жен.)</t>
  </si>
  <si>
    <t>Осмотрено(в т.ч муж.)</t>
  </si>
  <si>
    <t>Осмотрено(жен.)</t>
  </si>
  <si>
    <t>ГУЗ "Поликлиника № 18"</t>
  </si>
  <si>
    <t>факт</t>
  </si>
  <si>
    <t>Контингенты</t>
  </si>
  <si>
    <t>из них сельских жителей</t>
  </si>
  <si>
    <t xml:space="preserve"> в возрасте 18-39 лет</t>
  </si>
  <si>
    <t xml:space="preserve"> в возрасте 40-64 лет</t>
  </si>
  <si>
    <t xml:space="preserve"> в возрасте 65 лет и старше</t>
  </si>
  <si>
    <t xml:space="preserve">Сведения о диспансеризации  взрослого населения </t>
  </si>
  <si>
    <t>Злокачествен. новообраз.</t>
  </si>
  <si>
    <t>Сахарный диабет</t>
  </si>
  <si>
    <t>Национальный проект "Здравоохранение"      Развитие системы первичной медико -санитарной помощи</t>
  </si>
  <si>
    <t>Болезни системы кровообращ.</t>
  </si>
  <si>
    <t>гр.2  больше гр 3+ гр.4</t>
  </si>
  <si>
    <t>гр.2  больше либо равна гр.5</t>
  </si>
  <si>
    <t>гр.5  больше гр 6+ гр7</t>
  </si>
  <si>
    <r>
      <t xml:space="preserve">Исследования  1 раз  в 2 года </t>
    </r>
    <r>
      <rPr>
        <b/>
        <sz val="14"/>
        <color indexed="10"/>
        <rFont val="Times New Roman"/>
        <family val="1"/>
        <charset val="204"/>
      </rPr>
      <t xml:space="preserve"> (справочно)</t>
    </r>
  </si>
  <si>
    <r>
      <t xml:space="preserve">ВСЕГО                                         </t>
    </r>
    <r>
      <rPr>
        <sz val="14"/>
        <color indexed="8"/>
        <rFont val="Times New Roman"/>
        <family val="1"/>
        <charset val="204"/>
      </rPr>
      <t xml:space="preserve"> (план) </t>
    </r>
  </si>
  <si>
    <r>
      <rPr>
        <b/>
        <sz val="14"/>
        <color indexed="8"/>
        <rFont val="Times New Roman"/>
        <family val="1"/>
        <charset val="204"/>
      </rPr>
      <t xml:space="preserve">в т.ч. лица старше трудоспособ. возраста  </t>
    </r>
    <r>
      <rPr>
        <sz val="14"/>
        <color indexed="8"/>
        <rFont val="Times New Roman"/>
        <family val="1"/>
        <charset val="204"/>
      </rPr>
      <t xml:space="preserve">            (55 лет и старше у  женщин и старше 60 лет у мужчин)</t>
    </r>
  </si>
  <si>
    <r>
      <rPr>
        <b/>
        <sz val="14"/>
        <color indexed="8"/>
        <rFont val="Times New Roman"/>
        <family val="1"/>
        <charset val="204"/>
      </rPr>
      <t>в т.ч. сельские жители</t>
    </r>
    <r>
      <rPr>
        <sz val="14"/>
        <color indexed="8"/>
        <rFont val="Times New Roman"/>
        <family val="1"/>
        <charset val="204"/>
      </rPr>
      <t xml:space="preserve">          </t>
    </r>
    <r>
      <rPr>
        <b/>
        <sz val="14"/>
        <color indexed="10"/>
        <rFont val="Times New Roman"/>
        <family val="1"/>
        <charset val="204"/>
      </rPr>
      <t>(из гр.2)</t>
    </r>
  </si>
  <si>
    <r>
      <t>инвалиды, участники ВОВ</t>
    </r>
    <r>
      <rPr>
        <b/>
        <sz val="14"/>
        <rFont val="Times New Roman"/>
        <family val="1"/>
        <charset val="204"/>
      </rPr>
      <t xml:space="preserve"> и лица приравн. к ним</t>
    </r>
    <r>
      <rPr>
        <b/>
        <sz val="14"/>
        <color indexed="10"/>
        <rFont val="Times New Roman"/>
        <family val="1"/>
        <charset val="204"/>
      </rPr>
      <t xml:space="preserve">*                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гр.4)</t>
    </r>
  </si>
  <si>
    <r>
      <t>И  инвалиды по общему заболеванию</t>
    </r>
    <r>
      <rPr>
        <b/>
        <sz val="14"/>
        <color indexed="10"/>
        <rFont val="Times New Roman"/>
        <family val="1"/>
        <charset val="204"/>
      </rPr>
      <t>*           (из гр.4)</t>
    </r>
  </si>
  <si>
    <r>
      <rPr>
        <sz val="14"/>
        <color indexed="8"/>
        <rFont val="Times New Roman"/>
        <family val="1"/>
        <charset val="204"/>
      </rPr>
      <t>с применением мобильных медиц. комплексов</t>
    </r>
    <r>
      <rPr>
        <b/>
        <sz val="14"/>
        <color indexed="8"/>
        <rFont val="Times New Roman"/>
        <family val="1"/>
        <charset val="204"/>
      </rPr>
      <t xml:space="preserve"> и мобильных бригад</t>
    </r>
    <r>
      <rPr>
        <sz val="14"/>
        <color indexed="8"/>
        <rFont val="Times New Roman"/>
        <family val="1"/>
        <charset val="204"/>
      </rPr>
      <t xml:space="preserve"> для диспансер.                 </t>
    </r>
    <r>
      <rPr>
        <b/>
        <sz val="14"/>
        <color indexed="10"/>
        <rFont val="Times New Roman"/>
        <family val="1"/>
        <charset val="204"/>
      </rPr>
      <t>(из гр.4)</t>
    </r>
  </si>
  <si>
    <t>контроль</t>
  </si>
  <si>
    <t>Число лиц, прошедших диспансеризацию в т.ч.:</t>
  </si>
  <si>
    <t>исследов. кала на скрытую кровь (чел.)</t>
  </si>
  <si>
    <t>выявлено подозрений на профессион. заболевание</t>
  </si>
  <si>
    <t>не имели медицинских противопоказ. к работе</t>
  </si>
  <si>
    <t>имели временные /постоянные противопоказ.   к работе</t>
  </si>
  <si>
    <t>нуждаются в дополнит.обслед. в центре профпатологии</t>
  </si>
  <si>
    <t>Сведения о профилактических осмотрах взрослого населения</t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</si>
  <si>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гр.5)</t>
    </r>
  </si>
  <si>
    <t xml:space="preserve">Сведения о диспансеризации и профосмотрах  взрослого населения </t>
  </si>
  <si>
    <r>
      <t xml:space="preserve">Осмотрено </t>
    </r>
    <r>
      <rPr>
        <b/>
        <sz val="14"/>
        <color indexed="10"/>
        <rFont val="Times New Roman"/>
        <family val="1"/>
        <charset val="204"/>
      </rPr>
      <t>(завершили 1 этап)</t>
    </r>
  </si>
  <si>
    <r>
      <t>в вечернее время           (после 18:00)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</si>
  <si>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гр.2)</t>
    </r>
  </si>
  <si>
    <r>
      <t xml:space="preserve">всего  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</si>
  <si>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r>
      <t xml:space="preserve">в вечернее время           (после 18:00) </t>
    </r>
    <r>
      <rPr>
        <b/>
        <sz val="14"/>
        <color indexed="10"/>
        <rFont val="Times New Roman"/>
        <family val="1"/>
        <charset val="204"/>
      </rPr>
      <t>(из гр. 5)</t>
    </r>
  </si>
  <si>
    <r>
      <t xml:space="preserve"> в субботу </t>
    </r>
    <r>
      <rPr>
        <b/>
        <sz val="14"/>
        <color indexed="10"/>
        <rFont val="Times New Roman"/>
        <family val="1"/>
        <charset val="204"/>
      </rPr>
      <t>(из гр. 5)</t>
    </r>
  </si>
  <si>
    <r>
      <t>Из числа ГРАЖДАН,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  (из гр. 8)</t>
    </r>
    <r>
      <rPr>
        <b/>
        <sz val="14"/>
        <rFont val="Times New Roman"/>
        <family val="1"/>
        <charset val="204"/>
      </rPr>
      <t xml:space="preserve">, </t>
    </r>
    <r>
      <rPr>
        <b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</si>
  <si>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Из числа ГРАЖДАН,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 8)</t>
    </r>
    <r>
      <rPr>
        <b/>
        <sz val="14"/>
        <rFont val="Times New Roman"/>
        <family val="1"/>
        <charset val="204"/>
      </rPr>
      <t>,</t>
    </r>
    <r>
      <rPr>
        <b/>
        <sz val="14"/>
        <color indexed="10"/>
        <rFont val="Times New Roman"/>
        <family val="1"/>
        <charset val="204"/>
      </rPr>
      <t xml:space="preserve"> было начато лечение</t>
    </r>
  </si>
  <si>
    <r>
      <rPr>
        <b/>
        <sz val="14"/>
        <color indexed="10"/>
        <rFont val="Times New Roman"/>
        <family val="1"/>
        <charset val="204"/>
      </rPr>
      <t>в т.ч.</t>
    </r>
    <r>
      <rPr>
        <b/>
        <sz val="14"/>
        <rFont val="Times New Roman"/>
        <family val="1"/>
        <charset val="204"/>
      </rPr>
      <t xml:space="preserve"> сахарный диабет 1 типа</t>
    </r>
  </si>
  <si>
    <r>
      <t xml:space="preserve">из них сельских жителей 
</t>
    </r>
    <r>
      <rPr>
        <b/>
        <sz val="14"/>
        <color indexed="10"/>
        <rFont val="Times New Roman"/>
        <family val="1"/>
        <charset val="204"/>
      </rPr>
      <t>(из гр. 16)</t>
    </r>
  </si>
  <si>
    <r>
      <rPr>
        <b/>
        <u/>
        <sz val="14"/>
        <rFont val="Times New Roman"/>
        <family val="1"/>
        <charset val="204"/>
      </rPr>
      <t>Число впервые выявлен. заболеваний</t>
    </r>
    <r>
      <rPr>
        <b/>
        <sz val="14"/>
        <rFont val="Times New Roman"/>
        <family val="1"/>
        <charset val="204"/>
      </rPr>
      <t xml:space="preserve"> в ходе диспансериз. </t>
    </r>
    <r>
      <rPr>
        <b/>
        <sz val="14"/>
        <color indexed="10"/>
        <rFont val="Times New Roman"/>
        <family val="1"/>
        <charset val="204"/>
      </rPr>
      <t>ВСЕГО</t>
    </r>
  </si>
  <si>
    <t>гр.8 больше либо равна гр.15</t>
  </si>
  <si>
    <t>гр.8 больше либо равна гр.16</t>
  </si>
  <si>
    <t xml:space="preserve">Число лиц, прошедших профосмотр </t>
  </si>
  <si>
    <r>
      <t>Число</t>
    </r>
    <r>
      <rPr>
        <b/>
        <sz val="14"/>
        <color indexed="10"/>
        <rFont val="Times New Roman"/>
        <family val="1"/>
        <charset val="204"/>
      </rPr>
      <t xml:space="preserve"> ГРАЖДАН</t>
    </r>
    <r>
      <rPr>
        <b/>
        <sz val="14"/>
        <rFont val="Times New Roman"/>
        <family val="1"/>
        <charset val="204"/>
      </rPr>
      <t xml:space="preserve">,      у которых в ходе  диспансериз. </t>
    </r>
    <r>
      <rPr>
        <b/>
        <u/>
        <sz val="15"/>
        <rFont val="Times New Roman"/>
        <family val="1"/>
        <charset val="204"/>
      </rPr>
      <t>впервые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выявлены неинфекцион. заболевания </t>
    </r>
    <r>
      <rPr>
        <b/>
        <sz val="14"/>
        <color indexed="10"/>
        <rFont val="Times New Roman"/>
        <family val="1"/>
        <charset val="204"/>
      </rPr>
      <t>ВСЕГО</t>
    </r>
  </si>
  <si>
    <r>
      <rPr>
        <b/>
        <sz val="14"/>
        <color indexed="8"/>
        <rFont val="Times New Roman"/>
        <family val="1"/>
        <charset val="204"/>
      </rPr>
      <t xml:space="preserve">в т.ч. лица старше трудоспособ.  возраста  </t>
    </r>
    <r>
      <rPr>
        <sz val="14"/>
        <color indexed="8"/>
        <rFont val="Times New Roman"/>
        <family val="1"/>
        <charset val="204"/>
      </rPr>
      <t xml:space="preserve">                               (55 лет и старше у  женщин и старше 60 лет у мужчин)  </t>
    </r>
    <r>
      <rPr>
        <b/>
        <sz val="14"/>
        <color indexed="8"/>
        <rFont val="Times New Roman"/>
        <family val="1"/>
        <charset val="204"/>
      </rPr>
      <t xml:space="preserve">         </t>
    </r>
    <r>
      <rPr>
        <b/>
        <sz val="14"/>
        <color indexed="10"/>
        <rFont val="Times New Roman"/>
        <family val="1"/>
        <charset val="204"/>
      </rPr>
      <t>(из гр.4)</t>
    </r>
  </si>
  <si>
    <r>
      <t xml:space="preserve">в том числе в I и П стадиях              </t>
    </r>
    <r>
      <rPr>
        <b/>
        <sz val="14"/>
        <color indexed="10"/>
        <rFont val="Times New Roman"/>
        <family val="1"/>
        <charset val="204"/>
      </rPr>
      <t xml:space="preserve"> (из гр. 11)</t>
    </r>
  </si>
  <si>
    <r>
      <t xml:space="preserve">Из числа ГРАЖДАН,    у которых впервые выявлены неинфекц. заболевания 
</t>
    </r>
    <r>
      <rPr>
        <b/>
        <sz val="14"/>
        <color indexed="10"/>
        <rFont val="Times New Roman"/>
        <family val="1"/>
        <charset val="204"/>
      </rPr>
      <t>(из гр. 8)</t>
    </r>
    <r>
      <rPr>
        <b/>
        <sz val="14"/>
        <rFont val="Times New Roman"/>
        <family val="1"/>
        <charset val="204"/>
      </rPr>
      <t>,</t>
    </r>
    <r>
      <rPr>
        <b/>
        <u/>
        <sz val="14"/>
        <color indexed="10"/>
        <rFont val="Times New Roman"/>
        <family val="1"/>
        <charset val="204"/>
      </rPr>
      <t xml:space="preserve"> было начато лечение</t>
    </r>
  </si>
  <si>
    <r>
      <t>Из числа ГРАЖДАН,   у которых выявлены неинфекц. заболевания</t>
    </r>
    <r>
      <rPr>
        <b/>
        <sz val="14"/>
        <color indexed="10"/>
        <rFont val="Times New Roman"/>
        <family val="1"/>
        <charset val="204"/>
      </rPr>
      <t xml:space="preserve">           (из гр. 8)</t>
    </r>
    <r>
      <rPr>
        <b/>
        <sz val="14"/>
        <rFont val="Times New Roman"/>
        <family val="1"/>
        <charset val="204"/>
      </rPr>
      <t xml:space="preserve">, </t>
    </r>
    <r>
      <rPr>
        <b/>
        <u/>
        <sz val="14"/>
        <color indexed="10"/>
        <rFont val="Times New Roman"/>
        <family val="1"/>
        <charset val="204"/>
      </rPr>
      <t>взяты на диспансерное наблюдение</t>
    </r>
  </si>
  <si>
    <r>
      <t xml:space="preserve">Осмотрено </t>
    </r>
    <r>
      <rPr>
        <b/>
        <sz val="14"/>
        <color indexed="10"/>
        <rFont val="Times New Roman"/>
        <family val="1"/>
        <charset val="204"/>
      </rPr>
      <t>(завершили)</t>
    </r>
  </si>
  <si>
    <r>
      <rPr>
        <sz val="12"/>
        <color indexed="10"/>
        <rFont val="Times New Roman"/>
        <family val="1"/>
        <charset val="204"/>
      </rPr>
      <t>*</t>
    </r>
    <r>
      <rPr>
        <sz val="12"/>
        <color indexed="8"/>
        <rFont val="Times New Roman"/>
        <family val="1"/>
        <charset val="204"/>
      </rPr>
      <t>при наличии у гражданина несколько заболеваний, указанных в графах 10-13, его показывать в каждой графе</t>
    </r>
  </si>
  <si>
    <t>Проверка</t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</si>
  <si>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гр.19)</t>
    </r>
  </si>
  <si>
    <r>
      <t xml:space="preserve">в т.ч.лица старше трудоспособ.          возраста                         </t>
    </r>
    <r>
      <rPr>
        <sz val="14"/>
        <color indexed="8"/>
        <rFont val="Times New Roman"/>
        <family val="1"/>
        <charset val="204"/>
      </rPr>
      <t xml:space="preserve">(55 лет и страше у женщин и старше 60 лет у мужчин)              </t>
    </r>
    <r>
      <rPr>
        <b/>
        <sz val="14"/>
        <color indexed="10"/>
        <rFont val="Times New Roman"/>
        <family val="1"/>
        <charset val="204"/>
      </rPr>
      <t xml:space="preserve">   (из гр.19)</t>
    </r>
  </si>
  <si>
    <r>
      <t xml:space="preserve">распределение по группам здоровья  </t>
    </r>
    <r>
      <rPr>
        <b/>
        <sz val="14"/>
        <color indexed="10"/>
        <rFont val="Times New Roman"/>
        <family val="1"/>
        <charset val="204"/>
      </rPr>
      <t xml:space="preserve"> (из гр.19)  </t>
    </r>
    <r>
      <rPr>
        <b/>
        <sz val="14"/>
        <rFont val="Times New Roman"/>
        <family val="1"/>
        <charset val="204"/>
      </rPr>
      <t xml:space="preserve">      </t>
    </r>
  </si>
  <si>
    <t>гр.8 меньше либо равна гр.9</t>
  </si>
  <si>
    <t>гр.3 больше либо равна гр.6</t>
  </si>
  <si>
    <t>гр.4 больше либо равна гр.7</t>
  </si>
  <si>
    <t>гр.3  больше либо равна гр.6</t>
  </si>
  <si>
    <t>гр.4  больше либо равна гр.7</t>
  </si>
  <si>
    <t>гр.16 больше либо равна гр.17</t>
  </si>
  <si>
    <t>гр.16  больше либо равна гр.17</t>
  </si>
  <si>
    <t>в т.ч муж. (из гр.3)</t>
  </si>
  <si>
    <t>жен. (из гр.3)</t>
  </si>
  <si>
    <t>в т.ч муж. (из гр.4)</t>
  </si>
  <si>
    <t>жен. (из гр.4)</t>
  </si>
  <si>
    <t>в т.ч. сельские жители (из гр.3)</t>
  </si>
  <si>
    <t>в т.ч. сельские жители (из гр.4)</t>
  </si>
  <si>
    <t>3.1.</t>
  </si>
  <si>
    <t>3.2.</t>
  </si>
  <si>
    <t>3.3.</t>
  </si>
  <si>
    <t>4.1.</t>
  </si>
  <si>
    <t>4.2</t>
  </si>
  <si>
    <t>4.3</t>
  </si>
  <si>
    <t>гр. 3.1. меньше либо равна гр.3</t>
  </si>
  <si>
    <t>6.1</t>
  </si>
  <si>
    <t>21.1</t>
  </si>
  <si>
    <t>гр. 21.1 меньше либо равна гр.21</t>
  </si>
  <si>
    <r>
      <rPr>
        <b/>
        <sz val="14"/>
        <color indexed="10"/>
        <rFont val="Times New Roman"/>
        <family val="1"/>
        <charset val="204"/>
      </rPr>
      <t>из гр.5</t>
    </r>
    <r>
      <rPr>
        <b/>
        <sz val="14"/>
        <color indexed="8"/>
        <rFont val="Times New Roman"/>
        <family val="1"/>
        <charset val="204"/>
      </rPr>
      <t xml:space="preserve"> лица старше 65 лет, доставленные транспортом учреждения соцзащиты</t>
    </r>
  </si>
  <si>
    <r>
      <rPr>
        <b/>
        <sz val="14"/>
        <color indexed="10"/>
        <rFont val="Times New Roman"/>
        <family val="1"/>
        <charset val="204"/>
      </rPr>
      <t>из гр.21</t>
    </r>
    <r>
      <rPr>
        <b/>
        <sz val="14"/>
        <color indexed="8"/>
        <rFont val="Times New Roman"/>
        <family val="1"/>
        <charset val="204"/>
      </rPr>
      <t xml:space="preserve"> лица старше 65 лет, доставленные транспортом учреждения соцзащиты</t>
    </r>
  </si>
  <si>
    <t>гр. 6.1. меньше либо равна гр.5</t>
  </si>
  <si>
    <t>Глаукома</t>
  </si>
  <si>
    <r>
      <t xml:space="preserve">заполняется </t>
    </r>
    <r>
      <rPr>
        <b/>
        <sz val="14"/>
        <color indexed="10"/>
        <rFont val="Times New Roman"/>
        <family val="1"/>
        <charset val="204"/>
      </rPr>
      <t xml:space="preserve"> ЕЖЕНЕДЕЛЬНО (данные должны соответствовать форме №131)</t>
    </r>
  </si>
  <si>
    <r>
      <t xml:space="preserve">заполняется </t>
    </r>
    <r>
      <rPr>
        <b/>
        <sz val="14"/>
        <color indexed="10"/>
        <rFont val="Times New Roman"/>
        <family val="1"/>
        <charset val="204"/>
      </rPr>
      <t xml:space="preserve"> ЕЖЕНЕДЕЛЬНО </t>
    </r>
  </si>
  <si>
    <t>Сахарный диабет (всего)</t>
  </si>
  <si>
    <t>Доля впервые в жизни установленных неинфекционных  заболеваний (ХНИЗ), выявленных при проведении диспансеризации и профилактическом медицинском осмотре у взрослого населения, от общего числа ХНИЗ с впервые установленным диагнозом, %</t>
  </si>
  <si>
    <t>Показатель  нацпроекта</t>
  </si>
  <si>
    <t>ИТОГО</t>
  </si>
  <si>
    <t>Нозологии</t>
  </si>
  <si>
    <r>
      <t xml:space="preserve">число зарегистр. заболеваний  с впервые в жизни установл. диагнозом            </t>
    </r>
    <r>
      <rPr>
        <b/>
        <sz val="12"/>
        <color indexed="10"/>
        <rFont val="Times New Roman"/>
        <family val="1"/>
        <charset val="204"/>
      </rPr>
      <t>форма№12 (т.3000)</t>
    </r>
  </si>
  <si>
    <r>
      <t xml:space="preserve">число ГРАЖДАН, у которых </t>
    </r>
    <r>
      <rPr>
        <b/>
        <sz val="14"/>
        <color indexed="10"/>
        <rFont val="Times New Roman"/>
        <family val="1"/>
        <charset val="204"/>
      </rPr>
      <t>впервые</t>
    </r>
    <r>
      <rPr>
        <b/>
        <sz val="14"/>
        <color indexed="8"/>
        <rFont val="Times New Roman"/>
        <family val="1"/>
        <charset val="204"/>
      </rPr>
      <t xml:space="preserve"> выявлены (из гр. 8):</t>
    </r>
    <r>
      <rPr>
        <b/>
        <sz val="14"/>
        <color indexed="10"/>
        <rFont val="Times New Roman"/>
        <family val="1"/>
        <charset val="204"/>
      </rPr>
      <t>*</t>
    </r>
  </si>
  <si>
    <t>впервые выявлено при ДВН</t>
  </si>
  <si>
    <t>впервые выявлено при профосмотре</t>
  </si>
  <si>
    <t>Доля впервые в жизни установл. (ХНИЗ) от общего числа ХНИЗ с впервые установл.диагнозом, %</t>
  </si>
  <si>
    <t>всего выявлено при ДВН и профосмотрах</t>
  </si>
  <si>
    <r>
      <rPr>
        <b/>
        <sz val="12"/>
        <rFont val="Times New Roman"/>
        <family val="1"/>
        <charset val="204"/>
      </rPr>
      <t>заполняется</t>
    </r>
    <r>
      <rPr>
        <b/>
        <sz val="12"/>
        <color indexed="10"/>
        <rFont val="Times New Roman"/>
        <family val="1"/>
        <charset val="204"/>
      </rPr>
      <t xml:space="preserve"> ЕЖЕНЕДЕЛЬНО</t>
    </r>
  </si>
  <si>
    <r>
      <t xml:space="preserve">всего            </t>
    </r>
    <r>
      <rPr>
        <b/>
        <sz val="14"/>
        <color indexed="10"/>
        <rFont val="Times New Roman"/>
        <family val="1"/>
        <charset val="204"/>
      </rPr>
      <t xml:space="preserve"> (из гр.2)</t>
    </r>
  </si>
  <si>
    <t>Болезни системы кровообращения</t>
  </si>
  <si>
    <t>Злокачественные новообразования</t>
  </si>
  <si>
    <r>
      <rPr>
        <b/>
        <i/>
        <sz val="12"/>
        <color indexed="10"/>
        <rFont val="Times New Roman"/>
        <family val="1"/>
        <charset val="204"/>
      </rPr>
      <t>в т.ч.</t>
    </r>
    <r>
      <rPr>
        <b/>
        <i/>
        <sz val="12"/>
        <rFont val="Times New Roman"/>
        <family val="1"/>
        <charset val="204"/>
      </rPr>
      <t xml:space="preserve"> сахарный диабет 1 типа</t>
    </r>
  </si>
  <si>
    <r>
      <rPr>
        <b/>
        <i/>
        <sz val="12"/>
        <color indexed="10"/>
        <rFont val="Times New Roman"/>
        <family val="1"/>
        <charset val="204"/>
      </rPr>
      <t>в т.ч.</t>
    </r>
    <r>
      <rPr>
        <b/>
        <i/>
        <sz val="12"/>
        <rFont val="Times New Roman"/>
        <family val="1"/>
        <charset val="204"/>
      </rPr>
      <t xml:space="preserve"> сахарный диабет 2 типа</t>
    </r>
  </si>
  <si>
    <t>Тридубова Надежда Александровна</t>
  </si>
  <si>
    <t>Беспалов Владислав Владимирович</t>
  </si>
  <si>
    <t>8-904-754-25-38</t>
  </si>
  <si>
    <t>30.12.2019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</si>
</sst>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7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u/>
      <sz val="14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FF000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3" tint="0.3999755851924192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8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8" fillId="0" borderId="0" xfId="0" applyFont="1" applyProtection="1"/>
    <xf numFmtId="0" fontId="29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0" fontId="30" fillId="0" borderId="0" xfId="0" applyFont="1" applyProtection="1"/>
    <xf numFmtId="164" fontId="30" fillId="0" borderId="0" xfId="0" applyNumberFormat="1" applyFont="1" applyProtection="1">
      <protection hidden="1"/>
    </xf>
    <xf numFmtId="0" fontId="5" fillId="0" borderId="0" xfId="0" applyFont="1" applyAlignment="1" applyProtection="1">
      <alignment wrapText="1"/>
    </xf>
    <xf numFmtId="0" fontId="31" fillId="0" borderId="0" xfId="0" applyFont="1" applyAlignment="1" applyProtection="1"/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protection locked="0"/>
    </xf>
    <xf numFmtId="0" fontId="28" fillId="0" borderId="0" xfId="0" applyFont="1" applyFill="1" applyBorder="1" applyProtection="1"/>
    <xf numFmtId="0" fontId="0" fillId="0" borderId="0" xfId="0" applyFill="1" applyBorder="1"/>
    <xf numFmtId="0" fontId="8" fillId="0" borderId="0" xfId="0" applyFont="1" applyAlignment="1" applyProtection="1">
      <alignment vertical="center" wrapText="1"/>
    </xf>
    <xf numFmtId="0" fontId="28" fillId="0" borderId="0" xfId="0" applyFont="1" applyAlignment="1" applyProtection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left" vertical="center" wrapText="1"/>
    </xf>
    <xf numFmtId="0" fontId="33" fillId="6" borderId="20" xfId="0" applyFont="1" applyFill="1" applyBorder="1" applyAlignment="1">
      <alignment horizontal="left" vertical="center" wrapText="1"/>
    </xf>
    <xf numFmtId="0" fontId="33" fillId="6" borderId="21" xfId="0" applyFont="1" applyFill="1" applyBorder="1" applyAlignment="1">
      <alignment horizontal="left" vertical="center" wrapText="1"/>
    </xf>
    <xf numFmtId="0" fontId="33" fillId="7" borderId="19" xfId="0" applyFont="1" applyFill="1" applyBorder="1" applyAlignment="1">
      <alignment horizontal="left" vertical="center" wrapText="1"/>
    </xf>
    <xf numFmtId="0" fontId="33" fillId="7" borderId="20" xfId="0" applyFont="1" applyFill="1" applyBorder="1" applyAlignment="1">
      <alignment horizontal="left" vertical="center" wrapText="1"/>
    </xf>
    <xf numFmtId="0" fontId="33" fillId="7" borderId="21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23" xfId="0" applyFont="1" applyFill="1" applyBorder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NumberForma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7" xfId="0" applyNumberFormat="1" applyBorder="1" applyAlignment="1">
      <alignment horizontal="center" wrapText="1"/>
    </xf>
    <xf numFmtId="0" fontId="0" fillId="0" borderId="28" xfId="0" applyNumberFormat="1" applyBorder="1" applyAlignment="1">
      <alignment horizontal="center" wrapText="1"/>
    </xf>
    <xf numFmtId="0" fontId="34" fillId="0" borderId="0" xfId="0" applyFont="1" applyAlignment="1">
      <alignment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5" fillId="0" borderId="0" xfId="0" applyFont="1" applyAlignment="1" applyProtection="1"/>
    <xf numFmtId="0" fontId="33" fillId="0" borderId="29" xfId="0" applyFont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10" fillId="8" borderId="0" xfId="0" applyFont="1" applyFill="1" applyAlignment="1">
      <alignment wrapText="1"/>
    </xf>
    <xf numFmtId="0" fontId="3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9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wrapText="1"/>
      <protection hidden="1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Protection="1"/>
    <xf numFmtId="0" fontId="33" fillId="7" borderId="22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Protection="1"/>
    <xf numFmtId="0" fontId="29" fillId="0" borderId="0" xfId="0" applyFont="1" applyAlignment="1" applyProtection="1">
      <alignment wrapText="1"/>
    </xf>
    <xf numFmtId="0" fontId="28" fillId="0" borderId="0" xfId="0" applyFont="1" applyAlignment="1" applyProtection="1">
      <alignment wrapText="1"/>
    </xf>
    <xf numFmtId="0" fontId="28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36" fillId="9" borderId="3" xfId="0" applyFont="1" applyFill="1" applyBorder="1" applyAlignment="1" applyProtection="1">
      <alignment horizontal="center" vertical="center"/>
    </xf>
    <xf numFmtId="0" fontId="37" fillId="10" borderId="3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Protection="1"/>
    <xf numFmtId="0" fontId="38" fillId="0" borderId="0" xfId="0" applyFont="1" applyFill="1" applyBorder="1" applyAlignment="1" applyProtection="1">
      <protection locked="0"/>
    </xf>
    <xf numFmtId="0" fontId="31" fillId="0" borderId="0" xfId="0" applyFont="1" applyBorder="1" applyAlignment="1" applyProtection="1">
      <alignment horizontal="left" wrapText="1"/>
    </xf>
    <xf numFmtId="0" fontId="39" fillId="11" borderId="32" xfId="0" applyFont="1" applyFill="1" applyBorder="1" applyAlignment="1" applyProtection="1">
      <alignment horizontal="center" vertical="center" wrapText="1"/>
    </xf>
    <xf numFmtId="0" fontId="39" fillId="11" borderId="33" xfId="0" applyFont="1" applyFill="1" applyBorder="1" applyAlignment="1" applyProtection="1">
      <alignment horizontal="center" vertical="center" wrapText="1"/>
    </xf>
    <xf numFmtId="0" fontId="39" fillId="12" borderId="19" xfId="0" applyFont="1" applyFill="1" applyBorder="1" applyAlignment="1" applyProtection="1">
      <alignment horizontal="center" vertical="center" wrapText="1"/>
    </xf>
    <xf numFmtId="0" fontId="37" fillId="12" borderId="3" xfId="0" applyFont="1" applyFill="1" applyBorder="1" applyAlignment="1" applyProtection="1">
      <alignment horizontal="center" vertical="center"/>
      <protection locked="0"/>
    </xf>
    <xf numFmtId="0" fontId="36" fillId="12" borderId="3" xfId="0" applyFont="1" applyFill="1" applyBorder="1" applyAlignment="1" applyProtection="1">
      <alignment horizontal="center" vertical="center"/>
    </xf>
    <xf numFmtId="0" fontId="28" fillId="0" borderId="0" xfId="0" applyFont="1" applyFill="1" applyProtection="1"/>
    <xf numFmtId="0" fontId="39" fillId="13" borderId="8" xfId="0" applyFont="1" applyFill="1" applyBorder="1" applyAlignment="1" applyProtection="1">
      <alignment horizontal="center" vertical="center" wrapText="1"/>
    </xf>
    <xf numFmtId="0" fontId="39" fillId="13" borderId="9" xfId="0" applyFont="1" applyFill="1" applyBorder="1" applyAlignment="1" applyProtection="1">
      <alignment horizontal="center" vertical="center" wrapText="1"/>
    </xf>
    <xf numFmtId="0" fontId="40" fillId="0" borderId="0" xfId="0" applyFont="1"/>
    <xf numFmtId="0" fontId="39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Alignment="1" applyProtection="1">
      <alignment horizontal="right" wrapText="1"/>
    </xf>
    <xf numFmtId="0" fontId="36" fillId="13" borderId="3" xfId="0" applyFont="1" applyFill="1" applyBorder="1" applyAlignment="1" applyProtection="1">
      <alignment horizontal="center" vertical="center"/>
    </xf>
    <xf numFmtId="0" fontId="33" fillId="14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14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14" borderId="24" xfId="0" applyNumberFormat="1" applyFont="1" applyFill="1" applyBorder="1" applyAlignment="1" applyProtection="1">
      <alignment horizontal="center" vertical="center" wrapText="1"/>
      <protection locked="0"/>
    </xf>
    <xf numFmtId="0" fontId="33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/>
    </xf>
    <xf numFmtId="1" fontId="16" fillId="15" borderId="4" xfId="0" applyNumberFormat="1" applyFont="1" applyFill="1" applyBorder="1" applyAlignment="1">
      <alignment horizontal="center" vertical="center"/>
    </xf>
    <xf numFmtId="1" fontId="16" fillId="15" borderId="4" xfId="0" applyNumberFormat="1" applyFont="1" applyFill="1" applyBorder="1" applyAlignment="1">
      <alignment horizontal="center" vertical="center" wrapText="1"/>
    </xf>
    <xf numFmtId="1" fontId="5" fillId="10" borderId="4" xfId="0" applyNumberFormat="1" applyFont="1" applyFill="1" applyBorder="1" applyAlignment="1">
      <alignment horizontal="center" vertical="center"/>
    </xf>
    <xf numFmtId="1" fontId="5" fillId="15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" fontId="16" fillId="0" borderId="23" xfId="0" applyNumberFormat="1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left" vertical="center" wrapText="1"/>
    </xf>
    <xf numFmtId="1" fontId="5" fillId="10" borderId="7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wrapText="1"/>
    </xf>
    <xf numFmtId="0" fontId="33" fillId="14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>
      <alignment horizontal="left" vertical="center" wrapText="1"/>
    </xf>
    <xf numFmtId="0" fontId="33" fillId="14" borderId="9" xfId="0" applyNumberFormat="1" applyFont="1" applyFill="1" applyBorder="1" applyAlignment="1" applyProtection="1">
      <alignment horizontal="center" vertical="center" wrapText="1"/>
      <protection locked="0"/>
    </xf>
    <xf numFmtId="1" fontId="16" fillId="15" borderId="23" xfId="0" applyNumberFormat="1" applyFont="1" applyFill="1" applyBorder="1" applyAlignment="1">
      <alignment horizontal="center" vertical="center"/>
    </xf>
    <xf numFmtId="1" fontId="5" fillId="15" borderId="23" xfId="0" applyNumberFormat="1" applyFont="1" applyFill="1" applyBorder="1" applyAlignment="1">
      <alignment horizontal="center" vertical="center"/>
    </xf>
    <xf numFmtId="1" fontId="5" fillId="15" borderId="7" xfId="0" applyNumberFormat="1" applyFont="1" applyFill="1" applyBorder="1" applyAlignment="1">
      <alignment horizontal="center" vertical="center"/>
    </xf>
    <xf numFmtId="0" fontId="24" fillId="2" borderId="17" xfId="0" applyFont="1" applyFill="1" applyBorder="1" applyAlignment="1" applyProtection="1">
      <alignment horizontal="center" vertical="center" wrapText="1"/>
      <protection hidden="1"/>
    </xf>
    <xf numFmtId="1" fontId="5" fillId="0" borderId="24" xfId="0" applyNumberFormat="1" applyFont="1" applyBorder="1" applyAlignment="1">
      <alignment horizontal="left" vertical="center" wrapText="1"/>
    </xf>
    <xf numFmtId="0" fontId="3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15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15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NumberFormat="1" applyBorder="1" applyAlignment="1">
      <alignment horizontal="center" wrapText="1"/>
    </xf>
    <xf numFmtId="0" fontId="11" fillId="16" borderId="35" xfId="0" applyFont="1" applyFill="1" applyBorder="1" applyAlignment="1">
      <alignment horizontal="center" vertical="center" wrapText="1"/>
    </xf>
    <xf numFmtId="0" fontId="36" fillId="16" borderId="0" xfId="0" applyFont="1" applyFill="1" applyAlignment="1">
      <alignment horizontal="center"/>
    </xf>
    <xf numFmtId="0" fontId="36" fillId="16" borderId="0" xfId="0" applyFont="1" applyFill="1" applyAlignment="1" applyProtection="1">
      <alignment horizontal="center"/>
    </xf>
    <xf numFmtId="49" fontId="0" fillId="0" borderId="34" xfId="0" applyNumberFormat="1" applyBorder="1" applyAlignment="1">
      <alignment horizontal="center" wrapText="1"/>
    </xf>
    <xf numFmtId="49" fontId="0" fillId="0" borderId="27" xfId="0" applyNumberFormat="1" applyBorder="1" applyAlignment="1">
      <alignment horizontal="center" wrapText="1"/>
    </xf>
    <xf numFmtId="49" fontId="0" fillId="0" borderId="28" xfId="0" applyNumberFormat="1" applyBorder="1" applyAlignment="1">
      <alignment horizontal="center" wrapText="1"/>
    </xf>
    <xf numFmtId="0" fontId="37" fillId="10" borderId="2" xfId="0" applyFont="1" applyFill="1" applyBorder="1" applyAlignment="1" applyProtection="1">
      <alignment horizontal="center" vertical="center"/>
      <protection locked="0"/>
    </xf>
    <xf numFmtId="0" fontId="33" fillId="6" borderId="16" xfId="0" applyFont="1" applyFill="1" applyBorder="1" applyAlignment="1" applyProtection="1">
      <alignment horizontal="center" vertical="center" wrapText="1"/>
      <protection locked="0"/>
    </xf>
    <xf numFmtId="0" fontId="33" fillId="6" borderId="17" xfId="0" applyFont="1" applyFill="1" applyBorder="1" applyAlignment="1" applyProtection="1">
      <alignment horizontal="center" vertical="center" wrapText="1"/>
      <protection locked="0"/>
    </xf>
    <xf numFmtId="0" fontId="33" fillId="6" borderId="18" xfId="0" applyFont="1" applyFill="1" applyBorder="1" applyAlignment="1" applyProtection="1">
      <alignment horizontal="center" vertical="center" wrapText="1"/>
      <protection locked="0"/>
    </xf>
    <xf numFmtId="0" fontId="33" fillId="7" borderId="16" xfId="0" applyFont="1" applyFill="1" applyBorder="1" applyAlignment="1" applyProtection="1">
      <alignment horizontal="center" vertical="center" wrapText="1"/>
      <protection locked="0"/>
    </xf>
    <xf numFmtId="0" fontId="33" fillId="7" borderId="17" xfId="0" applyFont="1" applyFill="1" applyBorder="1" applyAlignment="1" applyProtection="1">
      <alignment horizontal="center" vertical="center" wrapText="1"/>
      <protection locked="0"/>
    </xf>
    <xf numFmtId="0" fontId="33" fillId="7" borderId="18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42" fillId="15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43" fillId="0" borderId="4" xfId="0" applyFont="1" applyBorder="1" applyAlignment="1">
      <alignment horizontal="center" vertical="center" wrapText="1"/>
    </xf>
    <xf numFmtId="0" fontId="43" fillId="17" borderId="4" xfId="0" applyFont="1" applyFill="1" applyBorder="1" applyAlignment="1">
      <alignment horizontal="center" vertical="center" wrapText="1"/>
    </xf>
    <xf numFmtId="165" fontId="43" fillId="7" borderId="4" xfId="0" applyNumberFormat="1" applyFont="1" applyFill="1" applyBorder="1" applyAlignment="1">
      <alignment horizontal="center" vertical="center" wrapText="1"/>
    </xf>
    <xf numFmtId="1" fontId="33" fillId="0" borderId="4" xfId="0" applyNumberFormat="1" applyFont="1" applyBorder="1" applyAlignment="1">
      <alignment horizontal="center" vertical="center"/>
    </xf>
    <xf numFmtId="1" fontId="43" fillId="17" borderId="4" xfId="0" applyNumberFormat="1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left" vertical="center" wrapText="1"/>
    </xf>
    <xf numFmtId="0" fontId="43" fillId="18" borderId="4" xfId="0" applyFont="1" applyFill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44" fillId="17" borderId="4" xfId="0" applyFont="1" applyFill="1" applyBorder="1" applyAlignment="1">
      <alignment horizontal="center" vertical="center" wrapText="1"/>
    </xf>
    <xf numFmtId="0" fontId="44" fillId="0" borderId="0" xfId="0" applyFont="1"/>
    <xf numFmtId="0" fontId="37" fillId="0" borderId="3" xfId="0" applyFont="1" applyFill="1" applyBorder="1" applyAlignment="1" applyProtection="1">
      <alignment horizontal="center" vertical="center"/>
      <protection locked="0"/>
    </xf>
    <xf numFmtId="49" fontId="32" fillId="5" borderId="2" xfId="0" applyNumberFormat="1" applyFont="1" applyFill="1" applyBorder="1" applyAlignment="1" applyProtection="1">
      <alignment horizontal="center" vertical="center" wrapText="1"/>
    </xf>
    <xf numFmtId="0" fontId="37" fillId="5" borderId="3" xfId="0" applyFont="1" applyFill="1" applyBorder="1" applyAlignment="1" applyProtection="1">
      <alignment horizontal="center" vertical="center"/>
      <protection locked="0"/>
    </xf>
    <xf numFmtId="0" fontId="36" fillId="0" borderId="3" xfId="0" applyFont="1" applyFill="1" applyBorder="1" applyAlignment="1" applyProtection="1">
      <alignment horizontal="center" vertical="center"/>
      <protection locked="0"/>
    </xf>
    <xf numFmtId="0" fontId="26" fillId="18" borderId="4" xfId="0" applyFont="1" applyFill="1" applyBorder="1" applyAlignment="1">
      <alignment horizontal="left" vertical="center" wrapText="1"/>
    </xf>
    <xf numFmtId="2" fontId="43" fillId="17" borderId="4" xfId="0" applyNumberFormat="1" applyFont="1" applyFill="1" applyBorder="1" applyAlignment="1" applyProtection="1">
      <alignment horizontal="center" vertical="center"/>
    </xf>
    <xf numFmtId="1" fontId="43" fillId="14" borderId="4" xfId="0" applyNumberFormat="1" applyFont="1" applyFill="1" applyBorder="1" applyAlignment="1" applyProtection="1">
      <alignment horizontal="center" vertical="center"/>
      <protection locked="0"/>
    </xf>
    <xf numFmtId="165" fontId="33" fillId="7" borderId="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31" fillId="0" borderId="43" xfId="0" applyFont="1" applyBorder="1" applyAlignment="1" applyProtection="1">
      <alignment horizontal="left" wrapText="1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12" borderId="44" xfId="0" applyFont="1" applyFill="1" applyBorder="1" applyAlignment="1" applyProtection="1">
      <alignment horizontal="center" vertical="center" wrapText="1"/>
    </xf>
    <xf numFmtId="0" fontId="39" fillId="12" borderId="45" xfId="0" applyFont="1" applyFill="1" applyBorder="1" applyAlignment="1" applyProtection="1">
      <alignment horizontal="center" vertical="center" wrapText="1"/>
    </xf>
    <xf numFmtId="0" fontId="39" fillId="12" borderId="36" xfId="0" applyFont="1" applyFill="1" applyBorder="1" applyAlignment="1" applyProtection="1">
      <alignment horizontal="center" vertical="center" wrapText="1"/>
    </xf>
    <xf numFmtId="0" fontId="39" fillId="12" borderId="46" xfId="0" applyFont="1" applyFill="1" applyBorder="1" applyAlignment="1" applyProtection="1">
      <alignment horizontal="center" vertical="center" wrapText="1"/>
    </xf>
    <xf numFmtId="0" fontId="39" fillId="12" borderId="47" xfId="0" applyFont="1" applyFill="1" applyBorder="1" applyAlignment="1" applyProtection="1">
      <alignment horizontal="center" vertical="center" wrapText="1"/>
    </xf>
    <xf numFmtId="0" fontId="13" fillId="12" borderId="37" xfId="0" applyFont="1" applyFill="1" applyBorder="1" applyAlignment="1" applyProtection="1">
      <alignment horizontal="center" vertical="top" wrapText="1"/>
    </xf>
    <xf numFmtId="0" fontId="30" fillId="12" borderId="38" xfId="0" applyFont="1" applyFill="1" applyBorder="1" applyAlignment="1" applyProtection="1">
      <alignment horizontal="center" vertical="top" wrapText="1"/>
    </xf>
    <xf numFmtId="0" fontId="30" fillId="12" borderId="48" xfId="0" applyFont="1" applyFill="1" applyBorder="1" applyAlignment="1" applyProtection="1">
      <alignment horizontal="center" vertical="center" wrapText="1"/>
    </xf>
    <xf numFmtId="0" fontId="30" fillId="12" borderId="41" xfId="0" applyFont="1" applyFill="1" applyBorder="1" applyAlignment="1" applyProtection="1">
      <alignment horizontal="center" vertical="center" wrapText="1"/>
    </xf>
    <xf numFmtId="0" fontId="39" fillId="12" borderId="19" xfId="0" applyFont="1" applyFill="1" applyBorder="1" applyAlignment="1" applyProtection="1">
      <alignment horizontal="center" vertical="center" wrapText="1"/>
    </xf>
    <xf numFmtId="0" fontId="39" fillId="12" borderId="4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/>
    </xf>
    <xf numFmtId="0" fontId="39" fillId="12" borderId="26" xfId="0" applyFont="1" applyFill="1" applyBorder="1" applyAlignment="1" applyProtection="1">
      <alignment horizontal="center" vertical="center" wrapText="1"/>
    </xf>
    <xf numFmtId="0" fontId="39" fillId="12" borderId="27" xfId="0" applyFont="1" applyFill="1" applyBorder="1" applyAlignment="1" applyProtection="1">
      <alignment horizontal="center" vertical="center" wrapText="1"/>
    </xf>
    <xf numFmtId="0" fontId="39" fillId="12" borderId="28" xfId="0" applyFont="1" applyFill="1" applyBorder="1" applyAlignment="1" applyProtection="1">
      <alignment horizontal="center" vertical="center" wrapText="1"/>
    </xf>
    <xf numFmtId="0" fontId="39" fillId="12" borderId="37" xfId="0" applyFont="1" applyFill="1" applyBorder="1" applyAlignment="1" applyProtection="1">
      <alignment horizontal="center" vertical="center" wrapText="1"/>
    </xf>
    <xf numFmtId="0" fontId="39" fillId="12" borderId="38" xfId="0" applyFont="1" applyFill="1" applyBorder="1" applyAlignment="1" applyProtection="1">
      <alignment horizontal="center" vertical="center" wrapText="1"/>
    </xf>
    <xf numFmtId="0" fontId="15" fillId="12" borderId="37" xfId="0" applyFont="1" applyFill="1" applyBorder="1" applyAlignment="1" applyProtection="1">
      <alignment horizontal="center" vertical="top" wrapText="1"/>
    </xf>
    <xf numFmtId="0" fontId="39" fillId="12" borderId="38" xfId="0" applyFont="1" applyFill="1" applyBorder="1" applyAlignment="1" applyProtection="1">
      <alignment horizontal="center" vertical="top" wrapText="1"/>
    </xf>
    <xf numFmtId="0" fontId="14" fillId="0" borderId="4" xfId="0" applyFont="1" applyBorder="1" applyAlignment="1" applyProtection="1">
      <alignment horizontal="left"/>
    </xf>
    <xf numFmtId="0" fontId="14" fillId="10" borderId="4" xfId="0" applyFont="1" applyFill="1" applyBorder="1" applyAlignment="1" applyProtection="1">
      <alignment horizontal="center"/>
      <protection locked="0"/>
    </xf>
    <xf numFmtId="0" fontId="39" fillId="12" borderId="33" xfId="0" applyFont="1" applyFill="1" applyBorder="1" applyAlignment="1" applyProtection="1">
      <alignment horizontal="center" vertical="center" wrapText="1"/>
    </xf>
    <xf numFmtId="0" fontId="39" fillId="12" borderId="41" xfId="0" applyFont="1" applyFill="1" applyBorder="1" applyAlignment="1" applyProtection="1">
      <alignment horizontal="center" vertical="center" wrapText="1"/>
    </xf>
    <xf numFmtId="0" fontId="39" fillId="5" borderId="37" xfId="0" applyFont="1" applyFill="1" applyBorder="1" applyAlignment="1" applyProtection="1">
      <alignment horizontal="center" vertical="center" wrapText="1"/>
    </xf>
    <xf numFmtId="0" fontId="45" fillId="5" borderId="38" xfId="0" applyFont="1" applyFill="1" applyBorder="1" applyAlignment="1">
      <alignment horizontal="center" vertical="center" wrapText="1"/>
    </xf>
    <xf numFmtId="0" fontId="39" fillId="12" borderId="2" xfId="0" applyFont="1" applyFill="1" applyBorder="1" applyAlignment="1" applyProtection="1">
      <alignment horizontal="center" vertical="center" wrapText="1"/>
    </xf>
    <xf numFmtId="0" fontId="39" fillId="12" borderId="25" xfId="0" applyFont="1" applyFill="1" applyBorder="1" applyAlignment="1" applyProtection="1">
      <alignment horizontal="center" vertical="center" wrapText="1"/>
    </xf>
    <xf numFmtId="0" fontId="39" fillId="12" borderId="39" xfId="0" applyFont="1" applyFill="1" applyBorder="1" applyAlignment="1" applyProtection="1">
      <alignment horizontal="center" vertical="center" wrapText="1"/>
    </xf>
    <xf numFmtId="0" fontId="39" fillId="12" borderId="10" xfId="0" applyFont="1" applyFill="1" applyBorder="1" applyAlignment="1" applyProtection="1">
      <alignment horizontal="center" vertical="center" wrapText="1"/>
    </xf>
    <xf numFmtId="0" fontId="39" fillId="12" borderId="0" xfId="0" applyFont="1" applyFill="1" applyBorder="1" applyAlignment="1" applyProtection="1">
      <alignment horizontal="center" vertical="center" wrapText="1"/>
    </xf>
    <xf numFmtId="0" fontId="39" fillId="12" borderId="42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5" fillId="13" borderId="26" xfId="0" applyFont="1" applyFill="1" applyBorder="1" applyAlignment="1" applyProtection="1">
      <alignment horizontal="center" vertical="center" wrapText="1"/>
    </xf>
    <xf numFmtId="0" fontId="5" fillId="13" borderId="27" xfId="0" applyFont="1" applyFill="1" applyBorder="1" applyAlignment="1" applyProtection="1">
      <alignment horizontal="center" vertical="center" wrapText="1"/>
    </xf>
    <xf numFmtId="0" fontId="5" fillId="13" borderId="28" xfId="0" applyFont="1" applyFill="1" applyBorder="1" applyAlignment="1" applyProtection="1">
      <alignment horizontal="center" vertical="center" wrapText="1"/>
    </xf>
    <xf numFmtId="0" fontId="39" fillId="13" borderId="16" xfId="0" applyFont="1" applyFill="1" applyBorder="1" applyAlignment="1" applyProtection="1">
      <alignment horizontal="center" vertical="center" wrapText="1"/>
    </xf>
    <xf numFmtId="0" fontId="39" fillId="13" borderId="18" xfId="0" applyFont="1" applyFill="1" applyBorder="1" applyAlignment="1" applyProtection="1">
      <alignment horizontal="center" vertical="center" wrapText="1"/>
    </xf>
    <xf numFmtId="0" fontId="30" fillId="13" borderId="16" xfId="0" applyFont="1" applyFill="1" applyBorder="1" applyAlignment="1" applyProtection="1">
      <alignment horizontal="center" vertical="center" wrapText="1"/>
    </xf>
    <xf numFmtId="0" fontId="30" fillId="13" borderId="18" xfId="0" applyFont="1" applyFill="1" applyBorder="1" applyAlignment="1" applyProtection="1">
      <alignment horizontal="center" vertical="center" wrapText="1"/>
    </xf>
    <xf numFmtId="0" fontId="39" fillId="13" borderId="36" xfId="0" applyFont="1" applyFill="1" applyBorder="1" applyAlignment="1" applyProtection="1">
      <alignment horizontal="center" vertical="center" wrapText="1"/>
    </xf>
    <xf numFmtId="0" fontId="39" fillId="13" borderId="30" xfId="0" applyFont="1" applyFill="1" applyBorder="1" applyAlignment="1" applyProtection="1">
      <alignment horizontal="center" vertical="center" wrapText="1"/>
    </xf>
    <xf numFmtId="0" fontId="5" fillId="13" borderId="5" xfId="0" applyFont="1" applyFill="1" applyBorder="1" applyAlignment="1" applyProtection="1">
      <alignment horizontal="center" vertical="center" wrapText="1"/>
    </xf>
    <xf numFmtId="0" fontId="5" fillId="13" borderId="6" xfId="0" applyFont="1" applyFill="1" applyBorder="1" applyAlignment="1" applyProtection="1">
      <alignment horizontal="center" vertical="center" wrapText="1"/>
    </xf>
    <xf numFmtId="0" fontId="39" fillId="11" borderId="2" xfId="0" applyFont="1" applyFill="1" applyBorder="1" applyAlignment="1" applyProtection="1">
      <alignment horizontal="center" vertical="center"/>
    </xf>
    <xf numFmtId="0" fontId="39" fillId="11" borderId="39" xfId="0" applyFont="1" applyFill="1" applyBorder="1" applyAlignment="1" applyProtection="1">
      <alignment horizontal="center" vertical="center"/>
    </xf>
    <xf numFmtId="0" fontId="39" fillId="11" borderId="26" xfId="0" applyFont="1" applyFill="1" applyBorder="1" applyAlignment="1" applyProtection="1">
      <alignment horizontal="center" vertical="center" wrapText="1"/>
    </xf>
    <xf numFmtId="0" fontId="39" fillId="11" borderId="28" xfId="0" applyFont="1" applyFill="1" applyBorder="1" applyAlignment="1" applyProtection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 wrapText="1"/>
    </xf>
    <xf numFmtId="0" fontId="39" fillId="15" borderId="49" xfId="0" applyFont="1" applyFill="1" applyBorder="1" applyAlignment="1">
      <alignment horizontal="center" vertical="center"/>
    </xf>
    <xf numFmtId="0" fontId="39" fillId="15" borderId="11" xfId="0" applyFont="1" applyFill="1" applyBorder="1" applyAlignment="1">
      <alignment horizontal="center" vertical="center"/>
    </xf>
    <xf numFmtId="0" fontId="39" fillId="15" borderId="17" xfId="0" applyFont="1" applyFill="1" applyBorder="1" applyAlignment="1">
      <alignment horizontal="center" vertical="center"/>
    </xf>
    <xf numFmtId="0" fontId="33" fillId="0" borderId="0" xfId="0" applyFont="1" applyAlignment="1"/>
    <xf numFmtId="0" fontId="18" fillId="18" borderId="4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 applyProtection="1">
      <alignment horizontal="center" vertical="center" wrapText="1"/>
    </xf>
    <xf numFmtId="0" fontId="18" fillId="15" borderId="4" xfId="0" applyFont="1" applyFill="1" applyBorder="1" applyAlignment="1" applyProtection="1">
      <alignment horizontal="center" vertical="center" wrapText="1"/>
    </xf>
    <xf numFmtId="0" fontId="39" fillId="15" borderId="4" xfId="0" applyFont="1" applyFill="1" applyBorder="1" applyAlignment="1">
      <alignment horizontal="center" vertical="center"/>
    </xf>
    <xf numFmtId="0" fontId="42" fillId="15" borderId="4" xfId="0" applyFont="1" applyFill="1" applyBorder="1" applyAlignment="1">
      <alignment horizontal="center" vertical="center"/>
    </xf>
    <xf numFmtId="0" fontId="4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42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43" fillId="0" borderId="0" xfId="0" applyFont="1" applyBorder="1" applyAlignment="1" applyProtection="1">
      <alignment horizontal="center"/>
    </xf>
    <xf numFmtId="0" fontId="39" fillId="0" borderId="0" xfId="0" applyFont="1" applyBorder="1" applyAlignment="1" applyProtection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33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55"/>
  <sheetViews>
    <sheetView workbookViewId="0">
      <selection activeCell="B2" sqref="B2"/>
    </sheetView>
  </sheetViews>
  <sheetFormatPr defaultRowHeight="15" x14ac:dyDescent="0.25"/>
  <cols>
    <col min="1" max="1" width="5.42578125" customWidth="1"/>
    <col min="2" max="2" width="51.7109375" customWidth="1"/>
  </cols>
  <sheetData>
    <row r="1" spans="1:2" x14ac:dyDescent="0.25">
      <c r="A1" s="1">
        <v>1</v>
      </c>
      <c r="B1" s="2" t="s">
        <v>12</v>
      </c>
    </row>
    <row r="2" spans="1:2" x14ac:dyDescent="0.25">
      <c r="A2" s="1">
        <v>2</v>
      </c>
      <c r="B2" s="3" t="s">
        <v>105</v>
      </c>
    </row>
    <row r="3" spans="1:2" x14ac:dyDescent="0.25">
      <c r="A3" s="1">
        <v>3</v>
      </c>
      <c r="B3" s="3" t="s">
        <v>13</v>
      </c>
    </row>
    <row r="4" spans="1:2" x14ac:dyDescent="0.25">
      <c r="A4" s="1">
        <v>4</v>
      </c>
      <c r="B4" s="3" t="s">
        <v>14</v>
      </c>
    </row>
    <row r="5" spans="1:2" x14ac:dyDescent="0.25">
      <c r="A5" s="1">
        <v>5</v>
      </c>
      <c r="B5" s="3" t="s">
        <v>15</v>
      </c>
    </row>
    <row r="6" spans="1:2" x14ac:dyDescent="0.25">
      <c r="A6" s="1">
        <v>6</v>
      </c>
      <c r="B6" s="3" t="s">
        <v>16</v>
      </c>
    </row>
    <row r="7" spans="1:2" x14ac:dyDescent="0.25">
      <c r="A7" s="1">
        <v>7</v>
      </c>
      <c r="B7" s="3" t="s">
        <v>17</v>
      </c>
    </row>
    <row r="8" spans="1:2" x14ac:dyDescent="0.25">
      <c r="A8" s="1">
        <v>8</v>
      </c>
      <c r="B8" s="3" t="s">
        <v>18</v>
      </c>
    </row>
    <row r="9" spans="1:2" x14ac:dyDescent="0.25">
      <c r="A9" s="1">
        <v>9</v>
      </c>
      <c r="B9" s="3" t="s">
        <v>19</v>
      </c>
    </row>
    <row r="10" spans="1:2" x14ac:dyDescent="0.25">
      <c r="A10" s="1">
        <v>10</v>
      </c>
      <c r="B10" s="3" t="s">
        <v>20</v>
      </c>
    </row>
    <row r="11" spans="1:2" x14ac:dyDescent="0.25">
      <c r="A11" s="1">
        <v>11</v>
      </c>
      <c r="B11" s="3" t="s">
        <v>21</v>
      </c>
    </row>
    <row r="12" spans="1:2" x14ac:dyDescent="0.25">
      <c r="A12" s="1">
        <v>12</v>
      </c>
      <c r="B12" s="3" t="s">
        <v>22</v>
      </c>
    </row>
    <row r="13" spans="1:2" x14ac:dyDescent="0.25">
      <c r="A13" s="1">
        <v>13</v>
      </c>
      <c r="B13" s="3" t="s">
        <v>23</v>
      </c>
    </row>
    <row r="14" spans="1:2" x14ac:dyDescent="0.25">
      <c r="A14" s="1">
        <v>14</v>
      </c>
      <c r="B14" s="3" t="s">
        <v>24</v>
      </c>
    </row>
    <row r="15" spans="1:2" x14ac:dyDescent="0.25">
      <c r="A15" s="1">
        <v>15</v>
      </c>
      <c r="B15" s="3" t="s">
        <v>25</v>
      </c>
    </row>
    <row r="16" spans="1:2" x14ac:dyDescent="0.25">
      <c r="A16" s="1">
        <v>16</v>
      </c>
      <c r="B16" s="3" t="s">
        <v>26</v>
      </c>
    </row>
    <row r="17" spans="1:2" x14ac:dyDescent="0.25">
      <c r="A17" s="1">
        <v>17</v>
      </c>
      <c r="B17" s="3" t="s">
        <v>27</v>
      </c>
    </row>
    <row r="18" spans="1:2" ht="30" x14ac:dyDescent="0.25">
      <c r="A18" s="1">
        <v>18</v>
      </c>
      <c r="B18" s="3" t="s">
        <v>28</v>
      </c>
    </row>
    <row r="19" spans="1:2" x14ac:dyDescent="0.25">
      <c r="A19" s="1">
        <v>19</v>
      </c>
      <c r="B19" s="3" t="s">
        <v>29</v>
      </c>
    </row>
    <row r="20" spans="1:2" x14ac:dyDescent="0.25">
      <c r="A20" s="1">
        <v>20</v>
      </c>
      <c r="B20" s="3" t="s">
        <v>30</v>
      </c>
    </row>
    <row r="21" spans="1:2" x14ac:dyDescent="0.25">
      <c r="A21" s="1">
        <v>21</v>
      </c>
      <c r="B21" s="3" t="s">
        <v>31</v>
      </c>
    </row>
    <row r="22" spans="1:2" x14ac:dyDescent="0.25">
      <c r="A22" s="1">
        <v>22</v>
      </c>
      <c r="B22" s="3" t="s">
        <v>32</v>
      </c>
    </row>
    <row r="23" spans="1:2" x14ac:dyDescent="0.25">
      <c r="A23" s="1">
        <v>23</v>
      </c>
      <c r="B23" s="3" t="s">
        <v>33</v>
      </c>
    </row>
    <row r="24" spans="1:2" x14ac:dyDescent="0.25">
      <c r="A24" s="1">
        <v>24</v>
      </c>
      <c r="B24" s="3" t="s">
        <v>34</v>
      </c>
    </row>
    <row r="25" spans="1:2" x14ac:dyDescent="0.25">
      <c r="A25" s="1">
        <v>25</v>
      </c>
      <c r="B25" s="3" t="s">
        <v>35</v>
      </c>
    </row>
    <row r="26" spans="1:2" x14ac:dyDescent="0.25">
      <c r="A26" s="1">
        <v>26</v>
      </c>
      <c r="B26" s="3" t="s">
        <v>36</v>
      </c>
    </row>
    <row r="27" spans="1:2" x14ac:dyDescent="0.25">
      <c r="A27" s="1">
        <v>27</v>
      </c>
      <c r="B27" s="3" t="s">
        <v>37</v>
      </c>
    </row>
    <row r="28" spans="1:2" x14ac:dyDescent="0.25">
      <c r="A28" s="1">
        <v>28</v>
      </c>
      <c r="B28" s="3" t="s">
        <v>38</v>
      </c>
    </row>
    <row r="29" spans="1:2" x14ac:dyDescent="0.25">
      <c r="A29" s="1">
        <v>29</v>
      </c>
      <c r="B29" s="3" t="s">
        <v>39</v>
      </c>
    </row>
    <row r="30" spans="1:2" x14ac:dyDescent="0.25">
      <c r="A30" s="1">
        <v>30</v>
      </c>
      <c r="B30" s="3" t="s">
        <v>40</v>
      </c>
    </row>
    <row r="31" spans="1:2" x14ac:dyDescent="0.25">
      <c r="A31" s="1">
        <v>31</v>
      </c>
      <c r="B31" s="2" t="s">
        <v>41</v>
      </c>
    </row>
    <row r="32" spans="1:2" x14ac:dyDescent="0.25">
      <c r="A32" s="1">
        <v>32</v>
      </c>
      <c r="B32" s="3" t="s">
        <v>42</v>
      </c>
    </row>
    <row r="33" spans="1:2" x14ac:dyDescent="0.25">
      <c r="A33" s="1">
        <v>33</v>
      </c>
      <c r="B33" s="3" t="s">
        <v>43</v>
      </c>
    </row>
    <row r="34" spans="1:2" x14ac:dyDescent="0.25">
      <c r="A34" s="1">
        <v>34</v>
      </c>
      <c r="B34" s="3" t="s">
        <v>44</v>
      </c>
    </row>
    <row r="35" spans="1:2" x14ac:dyDescent="0.25">
      <c r="A35" s="1">
        <v>35</v>
      </c>
      <c r="B35" s="3" t="s">
        <v>45</v>
      </c>
    </row>
    <row r="36" spans="1:2" x14ac:dyDescent="0.25">
      <c r="A36" s="1">
        <v>36</v>
      </c>
      <c r="B36" s="3" t="s">
        <v>46</v>
      </c>
    </row>
    <row r="37" spans="1:2" x14ac:dyDescent="0.25">
      <c r="A37" s="1">
        <v>37</v>
      </c>
      <c r="B37" s="3" t="s">
        <v>47</v>
      </c>
    </row>
    <row r="38" spans="1:2" x14ac:dyDescent="0.25">
      <c r="A38" s="1">
        <v>38</v>
      </c>
      <c r="B38" s="3" t="s">
        <v>48</v>
      </c>
    </row>
    <row r="39" spans="1:2" x14ac:dyDescent="0.25">
      <c r="A39" s="1">
        <v>39</v>
      </c>
      <c r="B39" s="3" t="s">
        <v>49</v>
      </c>
    </row>
    <row r="40" spans="1:2" x14ac:dyDescent="0.25">
      <c r="A40" s="1">
        <v>40</v>
      </c>
      <c r="B40" s="3" t="s">
        <v>50</v>
      </c>
    </row>
    <row r="41" spans="1:2" x14ac:dyDescent="0.25">
      <c r="A41" s="1">
        <v>41</v>
      </c>
      <c r="B41" s="3" t="s">
        <v>51</v>
      </c>
    </row>
    <row r="42" spans="1:2" x14ac:dyDescent="0.25">
      <c r="A42" s="1">
        <v>42</v>
      </c>
      <c r="B42" s="3" t="s">
        <v>52</v>
      </c>
    </row>
    <row r="43" spans="1:2" x14ac:dyDescent="0.25">
      <c r="A43" s="1">
        <v>43</v>
      </c>
      <c r="B43" s="3" t="s">
        <v>53</v>
      </c>
    </row>
    <row r="44" spans="1:2" x14ac:dyDescent="0.25">
      <c r="A44" s="1">
        <v>44</v>
      </c>
      <c r="B44" s="3" t="s">
        <v>54</v>
      </c>
    </row>
    <row r="45" spans="1:2" x14ac:dyDescent="0.25">
      <c r="A45" s="1">
        <v>45</v>
      </c>
      <c r="B45" s="3" t="s">
        <v>55</v>
      </c>
    </row>
    <row r="46" spans="1:2" x14ac:dyDescent="0.25">
      <c r="A46" s="1">
        <v>46</v>
      </c>
      <c r="B46" s="3" t="s">
        <v>56</v>
      </c>
    </row>
    <row r="47" spans="1:2" x14ac:dyDescent="0.25">
      <c r="A47" s="1">
        <v>47</v>
      </c>
      <c r="B47" s="3" t="s">
        <v>57</v>
      </c>
    </row>
    <row r="48" spans="1:2" x14ac:dyDescent="0.25">
      <c r="A48" s="1">
        <v>48</v>
      </c>
      <c r="B48" s="3" t="s">
        <v>58</v>
      </c>
    </row>
    <row r="49" spans="1:2" x14ac:dyDescent="0.25">
      <c r="A49" s="1">
        <v>49</v>
      </c>
      <c r="B49" s="3" t="s">
        <v>59</v>
      </c>
    </row>
    <row r="50" spans="1:2" x14ac:dyDescent="0.25">
      <c r="A50" s="1">
        <v>50</v>
      </c>
      <c r="B50" s="3" t="s">
        <v>60</v>
      </c>
    </row>
    <row r="51" spans="1:2" ht="19.5" customHeight="1" x14ac:dyDescent="0.25">
      <c r="A51" s="1">
        <v>51</v>
      </c>
      <c r="B51" s="3" t="s">
        <v>61</v>
      </c>
    </row>
    <row r="52" spans="1:2" x14ac:dyDescent="0.25">
      <c r="A52" s="1">
        <v>52</v>
      </c>
      <c r="B52" s="3" t="s">
        <v>62</v>
      </c>
    </row>
    <row r="53" spans="1:2" x14ac:dyDescent="0.25">
      <c r="A53" s="1">
        <v>53</v>
      </c>
      <c r="B53" s="3" t="s">
        <v>63</v>
      </c>
    </row>
    <row r="54" spans="1:2" x14ac:dyDescent="0.25">
      <c r="A54" s="1">
        <v>54</v>
      </c>
      <c r="B54" s="3" t="s">
        <v>64</v>
      </c>
    </row>
    <row r="55" spans="1:2" ht="30" x14ac:dyDescent="0.25">
      <c r="A55" s="1">
        <v>55</v>
      </c>
      <c r="B55" s="3" t="s">
        <v>65</v>
      </c>
    </row>
  </sheetData>
  <sheetProtection password="DB70" sheet="1" objects="1" scenarios="1" sort="0" autoFilter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59999389629810485"/>
    <pageSetUpPr fitToPage="1"/>
  </sheetPr>
  <dimension ref="A1:AB17"/>
  <sheetViews>
    <sheetView tabSelected="1" topLeftCell="F1" zoomScale="70" zoomScaleNormal="70" workbookViewId="0">
      <selection activeCell="N11" sqref="N11"/>
    </sheetView>
  </sheetViews>
  <sheetFormatPr defaultRowHeight="15" x14ac:dyDescent="0.25"/>
  <cols>
    <col min="1" max="1" width="15" style="99" customWidth="1"/>
    <col min="2" max="2" width="15" style="4" customWidth="1"/>
    <col min="3" max="3" width="18.140625" style="4" customWidth="1"/>
    <col min="4" max="4" width="14.85546875" style="4" customWidth="1"/>
    <col min="5" max="5" width="20.28515625" style="4" customWidth="1"/>
    <col min="6" max="6" width="14.7109375" style="4" customWidth="1"/>
    <col min="7" max="7" width="18.140625" style="4" customWidth="1"/>
    <col min="8" max="8" width="16.28515625" style="4" customWidth="1"/>
    <col min="9" max="9" width="17.7109375" style="4" customWidth="1"/>
    <col min="10" max="10" width="17.28515625" style="4" customWidth="1"/>
    <col min="11" max="11" width="13.85546875" style="4" customWidth="1"/>
    <col min="12" max="12" width="14" style="4" customWidth="1"/>
    <col min="13" max="14" width="15.5703125" style="4" customWidth="1"/>
    <col min="15" max="15" width="16.5703125" style="4" customWidth="1"/>
    <col min="16" max="17" width="14.42578125" style="4" customWidth="1"/>
    <col min="18" max="18" width="14.28515625" style="4" customWidth="1"/>
    <col min="19" max="19" width="15.140625" style="4" customWidth="1"/>
    <col min="20" max="20" width="12.5703125" style="4" customWidth="1"/>
    <col min="21" max="21" width="12" style="4" customWidth="1"/>
    <col min="22" max="22" width="15.42578125" style="4" customWidth="1"/>
    <col min="23" max="23" width="18.140625" style="4" customWidth="1"/>
    <col min="24" max="24" width="12.7109375" style="4" customWidth="1"/>
    <col min="25" max="25" width="11.28515625" style="4" customWidth="1"/>
    <col min="26" max="26" width="14" style="4" customWidth="1"/>
    <col min="27" max="27" width="48.7109375" customWidth="1"/>
    <col min="28" max="28" width="36.7109375" hidden="1" customWidth="1"/>
    <col min="29" max="29" width="9.140625" customWidth="1"/>
    <col min="30" max="30" width="23" customWidth="1"/>
    <col min="31" max="33" width="9.140625" customWidth="1"/>
  </cols>
  <sheetData>
    <row r="1" spans="1:28" ht="51" customHeight="1" x14ac:dyDescent="0.25">
      <c r="A1" s="194" t="s">
        <v>136</v>
      </c>
      <c r="B1" s="194"/>
      <c r="C1" s="194"/>
      <c r="D1" s="194"/>
      <c r="E1" s="194"/>
      <c r="F1" s="194"/>
      <c r="G1" s="194"/>
      <c r="H1" s="194"/>
      <c r="I1" s="194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8" ht="23.25" customHeight="1" x14ac:dyDescent="0.3">
      <c r="A2" s="98"/>
      <c r="B2" s="5"/>
      <c r="C2" s="6" t="s">
        <v>0</v>
      </c>
      <c r="D2" s="196" t="s">
        <v>211</v>
      </c>
      <c r="E2" s="196"/>
      <c r="F2" s="7" t="s">
        <v>80</v>
      </c>
      <c r="G2" s="7"/>
    </row>
    <row r="4" spans="1:28" ht="24.75" customHeight="1" x14ac:dyDescent="0.25">
      <c r="D4" s="208" t="s">
        <v>48</v>
      </c>
      <c r="E4" s="208"/>
      <c r="F4" s="208"/>
      <c r="G4" s="208"/>
      <c r="H4" s="208"/>
      <c r="I4" s="208"/>
      <c r="J4" s="100"/>
      <c r="K4" s="100"/>
      <c r="L4" s="100"/>
      <c r="M4" s="100"/>
      <c r="N4" s="100"/>
      <c r="O4" s="100"/>
    </row>
    <row r="5" spans="1:28" ht="15" customHeight="1" x14ac:dyDescent="0.25">
      <c r="D5" s="209" t="s">
        <v>1</v>
      </c>
      <c r="E5" s="209"/>
      <c r="F5" s="209"/>
      <c r="G5" s="209"/>
      <c r="H5" s="209"/>
      <c r="I5" s="209"/>
      <c r="J5" s="101"/>
      <c r="K5" s="101"/>
      <c r="L5" s="101"/>
      <c r="M5" s="101"/>
      <c r="N5" s="101"/>
      <c r="O5" s="101"/>
    </row>
    <row r="6" spans="1:28" ht="15.75" customHeight="1" thickBot="1" x14ac:dyDescent="0.3"/>
    <row r="7" spans="1:28" ht="48" customHeight="1" thickBot="1" x14ac:dyDescent="0.3">
      <c r="A7" s="210" t="s">
        <v>71</v>
      </c>
      <c r="B7" s="211"/>
      <c r="C7" s="212"/>
      <c r="D7" s="197" t="s">
        <v>2</v>
      </c>
      <c r="E7" s="198"/>
      <c r="F7" s="198"/>
      <c r="G7" s="198"/>
      <c r="H7" s="199"/>
      <c r="I7" s="200"/>
      <c r="J7" s="201"/>
      <c r="K7" s="223" t="s">
        <v>3</v>
      </c>
      <c r="L7" s="224"/>
      <c r="M7" s="224"/>
      <c r="N7" s="224"/>
      <c r="O7" s="225"/>
      <c r="P7" s="206" t="s">
        <v>66</v>
      </c>
      <c r="Q7" s="226" t="s">
        <v>76</v>
      </c>
      <c r="R7" s="243" t="s">
        <v>120</v>
      </c>
      <c r="S7" s="244"/>
      <c r="T7" s="230" t="s">
        <v>4</v>
      </c>
      <c r="U7" s="231"/>
      <c r="V7" s="231"/>
      <c r="W7" s="231"/>
      <c r="X7" s="231"/>
      <c r="Y7" s="231"/>
      <c r="Z7" s="232"/>
      <c r="AA7" s="229" t="s">
        <v>158</v>
      </c>
    </row>
    <row r="8" spans="1:28" ht="35.25" customHeight="1" thickBot="1" x14ac:dyDescent="0.3">
      <c r="A8" s="206" t="s">
        <v>121</v>
      </c>
      <c r="B8" s="202" t="s">
        <v>122</v>
      </c>
      <c r="C8" s="204" t="s">
        <v>123</v>
      </c>
      <c r="D8" s="206" t="s">
        <v>72</v>
      </c>
      <c r="E8" s="202" t="s">
        <v>152</v>
      </c>
      <c r="F8" s="204" t="s">
        <v>135</v>
      </c>
      <c r="G8" s="221" t="s">
        <v>185</v>
      </c>
      <c r="H8" s="213" t="s">
        <v>124</v>
      </c>
      <c r="I8" s="213" t="s">
        <v>125</v>
      </c>
      <c r="J8" s="215" t="s">
        <v>126</v>
      </c>
      <c r="K8" s="206" t="s">
        <v>73</v>
      </c>
      <c r="L8" s="206" t="s">
        <v>74</v>
      </c>
      <c r="M8" s="206" t="s">
        <v>75</v>
      </c>
      <c r="N8" s="223" t="s">
        <v>79</v>
      </c>
      <c r="O8" s="225"/>
      <c r="P8" s="219"/>
      <c r="Q8" s="227"/>
      <c r="R8" s="241" t="s">
        <v>106</v>
      </c>
      <c r="S8" s="242"/>
      <c r="T8" s="233" t="s">
        <v>72</v>
      </c>
      <c r="U8" s="235" t="s">
        <v>159</v>
      </c>
      <c r="V8" s="237" t="s">
        <v>160</v>
      </c>
      <c r="W8" s="221" t="s">
        <v>186</v>
      </c>
      <c r="X8" s="239" t="s">
        <v>161</v>
      </c>
      <c r="Y8" s="239"/>
      <c r="Z8" s="240"/>
      <c r="AA8" s="229"/>
    </row>
    <row r="9" spans="1:28" ht="192" customHeight="1" thickBot="1" x14ac:dyDescent="0.3">
      <c r="A9" s="207"/>
      <c r="B9" s="203"/>
      <c r="C9" s="205"/>
      <c r="D9" s="207"/>
      <c r="E9" s="203"/>
      <c r="F9" s="205"/>
      <c r="G9" s="222"/>
      <c r="H9" s="214"/>
      <c r="I9" s="214"/>
      <c r="J9" s="216"/>
      <c r="K9" s="207"/>
      <c r="L9" s="207"/>
      <c r="M9" s="207"/>
      <c r="N9" s="109" t="s">
        <v>77</v>
      </c>
      <c r="O9" s="109" t="s">
        <v>78</v>
      </c>
      <c r="P9" s="220"/>
      <c r="Q9" s="228"/>
      <c r="R9" s="107" t="s">
        <v>98</v>
      </c>
      <c r="S9" s="108" t="s">
        <v>129</v>
      </c>
      <c r="T9" s="234"/>
      <c r="U9" s="236"/>
      <c r="V9" s="238"/>
      <c r="W9" s="222"/>
      <c r="X9" s="113" t="s">
        <v>6</v>
      </c>
      <c r="Y9" s="113" t="s">
        <v>7</v>
      </c>
      <c r="Z9" s="114" t="s">
        <v>8</v>
      </c>
      <c r="AA9" s="229"/>
    </row>
    <row r="10" spans="1:28" ht="17.25" customHeight="1" thickBot="1" x14ac:dyDescent="0.3">
      <c r="A10" s="12">
        <v>1</v>
      </c>
      <c r="B10" s="13">
        <v>2</v>
      </c>
      <c r="C10" s="12">
        <v>3</v>
      </c>
      <c r="D10" s="13">
        <v>4</v>
      </c>
      <c r="E10" s="12">
        <v>5</v>
      </c>
      <c r="F10" s="13">
        <v>6</v>
      </c>
      <c r="G10" s="187" t="s">
        <v>182</v>
      </c>
      <c r="H10" s="12">
        <v>7</v>
      </c>
      <c r="I10" s="13">
        <v>8</v>
      </c>
      <c r="J10" s="12">
        <v>9</v>
      </c>
      <c r="K10" s="13">
        <v>10</v>
      </c>
      <c r="L10" s="12">
        <v>11</v>
      </c>
      <c r="M10" s="13">
        <v>12</v>
      </c>
      <c r="N10" s="12">
        <v>13</v>
      </c>
      <c r="O10" s="13">
        <v>14</v>
      </c>
      <c r="P10" s="12">
        <v>15</v>
      </c>
      <c r="Q10" s="13">
        <v>16</v>
      </c>
      <c r="R10" s="12">
        <v>17</v>
      </c>
      <c r="S10" s="13">
        <v>18</v>
      </c>
      <c r="T10" s="12">
        <v>19</v>
      </c>
      <c r="U10" s="13">
        <v>20</v>
      </c>
      <c r="V10" s="12">
        <v>21</v>
      </c>
      <c r="W10" s="187" t="s">
        <v>183</v>
      </c>
      <c r="X10" s="13">
        <v>22</v>
      </c>
      <c r="Y10" s="12">
        <v>23</v>
      </c>
      <c r="Z10" s="13">
        <v>24</v>
      </c>
      <c r="AA10" s="229"/>
    </row>
    <row r="11" spans="1:28" ht="47.25" customHeight="1" thickBot="1" x14ac:dyDescent="0.3">
      <c r="A11" s="110">
        <v>2127</v>
      </c>
      <c r="B11" s="186">
        <v>906</v>
      </c>
      <c r="C11" s="186">
        <v>906</v>
      </c>
      <c r="D11" s="111">
        <f>K11+L11+M11</f>
        <v>2127</v>
      </c>
      <c r="E11" s="186">
        <v>1155</v>
      </c>
      <c r="F11" s="186">
        <v>1155</v>
      </c>
      <c r="G11" s="188">
        <v>170</v>
      </c>
      <c r="H11" s="186">
        <v>3</v>
      </c>
      <c r="I11" s="186">
        <v>57</v>
      </c>
      <c r="J11" s="186">
        <v>393</v>
      </c>
      <c r="K11" s="189">
        <v>365</v>
      </c>
      <c r="L11" s="189">
        <v>298</v>
      </c>
      <c r="M11" s="102">
        <f>N11+O11</f>
        <v>1464</v>
      </c>
      <c r="N11" s="186">
        <v>1385</v>
      </c>
      <c r="O11" s="186">
        <v>79</v>
      </c>
      <c r="P11" s="186">
        <v>650</v>
      </c>
      <c r="Q11" s="186">
        <v>644</v>
      </c>
      <c r="R11" s="186">
        <v>1</v>
      </c>
      <c r="S11" s="186">
        <v>509</v>
      </c>
      <c r="T11" s="118">
        <f>X11+Y11+Z11</f>
        <v>883</v>
      </c>
      <c r="U11" s="103">
        <v>883</v>
      </c>
      <c r="V11" s="103">
        <v>318</v>
      </c>
      <c r="W11" s="188">
        <v>170</v>
      </c>
      <c r="X11" s="103">
        <v>262</v>
      </c>
      <c r="Y11" s="103">
        <v>157</v>
      </c>
      <c r="Z11" s="159">
        <v>464</v>
      </c>
      <c r="AA11" s="123" t="str">
        <f>IF(OR(G11&lt;&gt;0,E11&lt;&gt;0),IF(G11&lt;=E11,"ОК","гр.6.1 &gt; гр.5"),"ОК")</f>
        <v>ОК</v>
      </c>
      <c r="AB11" s="75" t="s">
        <v>187</v>
      </c>
    </row>
    <row r="12" spans="1:28" ht="47.25" customHeight="1" x14ac:dyDescent="0.25">
      <c r="A12" s="195" t="s">
        <v>70</v>
      </c>
      <c r="B12" s="195"/>
      <c r="C12" s="195"/>
      <c r="D12" s="195"/>
      <c r="E12" s="195"/>
      <c r="F12" s="11"/>
      <c r="G12" s="11"/>
      <c r="H12" s="11"/>
      <c r="I12" s="11"/>
      <c r="Q12" s="18"/>
      <c r="AA12" s="123" t="str">
        <f>IF(OR(W11&lt;&gt;0,V11&lt;&gt;0),IF(W11&lt;=V11,"ОК","гр.21.1 &gt; гр.21"),"ОК")</f>
        <v>ОК</v>
      </c>
      <c r="AB12" s="75" t="s">
        <v>184</v>
      </c>
    </row>
    <row r="13" spans="1:28" ht="20.25" customHeight="1" x14ac:dyDescent="0.25">
      <c r="A13" s="106"/>
      <c r="B13" s="106"/>
      <c r="C13" s="106"/>
      <c r="D13" s="106"/>
      <c r="E13" s="106"/>
      <c r="F13" s="11"/>
      <c r="G13" s="11"/>
      <c r="H13" s="11"/>
      <c r="I13" s="11"/>
      <c r="Q13" s="18"/>
    </row>
    <row r="14" spans="1:28" ht="21.75" customHeight="1" x14ac:dyDescent="0.25">
      <c r="A14" s="217" t="s">
        <v>10</v>
      </c>
      <c r="B14" s="217"/>
      <c r="C14" s="218" t="s">
        <v>208</v>
      </c>
      <c r="D14" s="218"/>
      <c r="E14" s="218"/>
      <c r="F14" s="15"/>
      <c r="G14" s="15"/>
      <c r="H14" s="104"/>
      <c r="I14" s="15"/>
      <c r="J14" s="16"/>
      <c r="K14" s="15"/>
    </row>
    <row r="15" spans="1:28" ht="19.5" customHeight="1" x14ac:dyDescent="0.25">
      <c r="A15" s="217" t="s">
        <v>11</v>
      </c>
      <c r="B15" s="217"/>
      <c r="C15" s="218" t="s">
        <v>209</v>
      </c>
      <c r="D15" s="218"/>
      <c r="E15" s="218"/>
      <c r="F15" s="15"/>
      <c r="G15" s="15"/>
      <c r="H15" s="104"/>
      <c r="I15" s="15"/>
      <c r="J15" s="15"/>
      <c r="K15" s="15"/>
      <c r="L15" s="112"/>
    </row>
    <row r="16" spans="1:28" ht="21.75" customHeight="1" x14ac:dyDescent="0.25">
      <c r="A16" s="217" t="s">
        <v>9</v>
      </c>
      <c r="B16" s="217"/>
      <c r="C16" s="218" t="s">
        <v>210</v>
      </c>
      <c r="D16" s="218"/>
      <c r="E16" s="218"/>
      <c r="F16" s="14"/>
      <c r="G16" s="14"/>
      <c r="H16" s="105"/>
      <c r="I16" s="15"/>
    </row>
    <row r="17" spans="5:9" ht="24" customHeight="1" x14ac:dyDescent="0.25">
      <c r="E17" s="14"/>
      <c r="F17" s="14"/>
      <c r="G17" s="14"/>
      <c r="H17" s="14"/>
      <c r="I17" s="15"/>
    </row>
  </sheetData>
  <sheetProtection password="DB70" sheet="1" objects="1" scenarios="1" sort="0" autoFilter="0"/>
  <mergeCells count="39">
    <mergeCell ref="Q7:Q9"/>
    <mergeCell ref="AA7:AA10"/>
    <mergeCell ref="T7:Z7"/>
    <mergeCell ref="T8:T9"/>
    <mergeCell ref="U8:U9"/>
    <mergeCell ref="V8:V9"/>
    <mergeCell ref="X8:Z8"/>
    <mergeCell ref="W8:W9"/>
    <mergeCell ref="R8:S8"/>
    <mergeCell ref="R7:S7"/>
    <mergeCell ref="P7:P9"/>
    <mergeCell ref="I8:I9"/>
    <mergeCell ref="G8:G9"/>
    <mergeCell ref="K7:O7"/>
    <mergeCell ref="L8:L9"/>
    <mergeCell ref="K8:K9"/>
    <mergeCell ref="M8:M9"/>
    <mergeCell ref="N8:O8"/>
    <mergeCell ref="A16:B16"/>
    <mergeCell ref="C16:E16"/>
    <mergeCell ref="A15:B15"/>
    <mergeCell ref="C15:E15"/>
    <mergeCell ref="A14:B14"/>
    <mergeCell ref="C14:E14"/>
    <mergeCell ref="A1:I1"/>
    <mergeCell ref="A12:E12"/>
    <mergeCell ref="D2:E2"/>
    <mergeCell ref="D7:J7"/>
    <mergeCell ref="B8:B9"/>
    <mergeCell ref="C8:C9"/>
    <mergeCell ref="E8:E9"/>
    <mergeCell ref="F8:F9"/>
    <mergeCell ref="A8:A9"/>
    <mergeCell ref="D4:I4"/>
    <mergeCell ref="D5:I5"/>
    <mergeCell ref="A7:C7"/>
    <mergeCell ref="H8:H9"/>
    <mergeCell ref="D8:D9"/>
    <mergeCell ref="J8:J9"/>
  </mergeCells>
  <conditionalFormatting sqref="AA11">
    <cfRule type="expression" dxfId="32" priority="2" stopIfTrue="1">
      <formula>AA11&lt;&gt;"ОК"</formula>
    </cfRule>
  </conditionalFormatting>
  <conditionalFormatting sqref="AA12">
    <cfRule type="expression" dxfId="31" priority="1" stopIfTrue="1">
      <formula>AA12&lt;&gt;"ОК"</formula>
    </cfRule>
  </conditionalFormatting>
  <dataValidations count="2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4">
      <formula1>Названия_учреждений</formula1>
    </dataValidation>
    <dataValidation type="custom" operator="greaterThanOrEqual" showInputMessage="1" showErrorMessage="1" errorTitle="В Н И М А Н И Е !" error="Перед заполнением таблицы НУЖНО ВНАЧАЛЕ ВВЕСТИ:_x000a_1) дату и название организации;_x000a_2) Ф.И.О. гл.врача, исполнителя и ТЕЛЕФОН ИСПОЛНИТЕЛЯ._x000a__x000a_Значение в этой ячейке должно быть целым положительным числом_x000a_ЛИБО РАВНО НУЛЮ._x000a_" sqref="A11:C11 E11:L11 N11:S11 U11:Z11">
      <formula1>AND($D$2&lt;&gt;0,$D$4&lt;&gt;0,$C$14&lt;&gt;0,$C$15&lt;&gt;0,$C$16&lt;&gt;0,ISNUMBER(A11),A11&gt;=0,IF(ISERROR(SEARCH(",?",A11)),0,1)=0)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C99"/>
    <pageSetUpPr fitToPage="1"/>
  </sheetPr>
  <dimension ref="A1:Y18"/>
  <sheetViews>
    <sheetView zoomScale="70" zoomScaleNormal="70" workbookViewId="0">
      <selection activeCell="E10" sqref="E10"/>
    </sheetView>
  </sheetViews>
  <sheetFormatPr defaultRowHeight="15" x14ac:dyDescent="0.25"/>
  <cols>
    <col min="1" max="1" width="36.140625" customWidth="1"/>
    <col min="2" max="2" width="13" customWidth="1"/>
    <col min="3" max="3" width="17.7109375" customWidth="1"/>
    <col min="4" max="4" width="14.85546875" customWidth="1"/>
    <col min="5" max="5" width="13.42578125" customWidth="1"/>
    <col min="6" max="6" width="16.85546875" customWidth="1"/>
    <col min="7" max="7" width="13.85546875" customWidth="1"/>
    <col min="8" max="8" width="18.5703125" customWidth="1"/>
    <col min="9" max="9" width="19.28515625" customWidth="1"/>
    <col min="10" max="10" width="17.28515625" customWidth="1"/>
    <col min="11" max="11" width="18.85546875" customWidth="1"/>
    <col min="12" max="12" width="14.28515625" customWidth="1"/>
    <col min="13" max="13" width="14.140625" customWidth="1"/>
    <col min="14" max="15" width="14.85546875" customWidth="1"/>
    <col min="16" max="16" width="21.140625" customWidth="1"/>
    <col min="17" max="17" width="20.28515625" customWidth="1"/>
    <col min="18" max="18" width="13.5703125" customWidth="1"/>
    <col min="19" max="19" width="48.7109375" customWidth="1"/>
    <col min="20" max="21" width="9.140625" hidden="1" customWidth="1"/>
    <col min="22" max="22" width="23" hidden="1" customWidth="1"/>
    <col min="23" max="25" width="9.140625" hidden="1" customWidth="1"/>
  </cols>
  <sheetData>
    <row r="1" spans="1:25" ht="33.75" customHeight="1" x14ac:dyDescent="0.25">
      <c r="A1" s="91" t="b">
        <f>AND('ДВН и профосмотр_общая '!D2&lt;&gt;0,'ДВН и профосмотр_общая '!D4&lt;&gt;0,'ДВН и профосмотр_общая '!C14&lt;&gt;0,'ДВН и профосмотр_общая '!C15&lt;&gt;0,'ДВН и профосмотр_общая '!C16&lt;&gt;0)</f>
        <v>1</v>
      </c>
      <c r="B1" s="254" t="s">
        <v>112</v>
      </c>
      <c r="C1" s="254"/>
      <c r="D1" s="254"/>
      <c r="E1" s="254"/>
      <c r="F1" s="254"/>
      <c r="G1" s="254"/>
      <c r="H1" s="254"/>
      <c r="I1" s="254"/>
    </row>
    <row r="2" spans="1:25" ht="26.25" customHeight="1" x14ac:dyDescent="0.25"/>
    <row r="3" spans="1:25" s="4" customFormat="1" ht="37.5" customHeight="1" x14ac:dyDescent="0.25">
      <c r="A3" s="246" t="s">
        <v>115</v>
      </c>
      <c r="B3" s="246"/>
      <c r="C3" s="246"/>
      <c r="D3" s="246"/>
      <c r="E3" s="246"/>
      <c r="F3" s="246"/>
      <c r="G3" s="246"/>
      <c r="H3" s="246"/>
      <c r="I3" s="116"/>
    </row>
    <row r="4" spans="1:25" s="4" customFormat="1" ht="37.5" customHeight="1" x14ac:dyDescent="0.25">
      <c r="A4" s="257" t="s">
        <v>189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29" t="s">
        <v>158</v>
      </c>
      <c r="T4"/>
      <c r="U4"/>
    </row>
    <row r="5" spans="1:25" s="4" customFormat="1" ht="33.75" customHeight="1" x14ac:dyDescent="0.25">
      <c r="A5" s="255" t="s">
        <v>107</v>
      </c>
      <c r="B5" s="247" t="s">
        <v>137</v>
      </c>
      <c r="C5" s="247"/>
      <c r="D5" s="247"/>
      <c r="E5" s="247" t="s">
        <v>108</v>
      </c>
      <c r="F5" s="247"/>
      <c r="G5" s="248"/>
      <c r="H5" s="256" t="s">
        <v>151</v>
      </c>
      <c r="I5" s="245" t="s">
        <v>147</v>
      </c>
      <c r="J5" s="250" t="s">
        <v>197</v>
      </c>
      <c r="K5" s="251"/>
      <c r="L5" s="251"/>
      <c r="M5" s="251"/>
      <c r="N5" s="251"/>
      <c r="O5" s="252"/>
      <c r="P5" s="245" t="s">
        <v>143</v>
      </c>
      <c r="Q5" s="245" t="s">
        <v>144</v>
      </c>
      <c r="R5" s="249" t="s">
        <v>146</v>
      </c>
      <c r="S5" s="229"/>
      <c r="T5"/>
      <c r="U5"/>
    </row>
    <row r="6" spans="1:25" s="4" customFormat="1" ht="159" customHeight="1" x14ac:dyDescent="0.25">
      <c r="A6" s="255"/>
      <c r="B6" s="126" t="s">
        <v>72</v>
      </c>
      <c r="C6" s="125" t="s">
        <v>138</v>
      </c>
      <c r="D6" s="125" t="s">
        <v>139</v>
      </c>
      <c r="E6" s="125" t="s">
        <v>203</v>
      </c>
      <c r="F6" s="125" t="s">
        <v>141</v>
      </c>
      <c r="G6" s="134" t="s">
        <v>142</v>
      </c>
      <c r="H6" s="256"/>
      <c r="I6" s="245"/>
      <c r="J6" s="127" t="s">
        <v>116</v>
      </c>
      <c r="K6" s="127" t="s">
        <v>113</v>
      </c>
      <c r="L6" s="127" t="s">
        <v>153</v>
      </c>
      <c r="M6" s="127" t="s">
        <v>114</v>
      </c>
      <c r="N6" s="127" t="s">
        <v>145</v>
      </c>
      <c r="O6" s="170" t="s">
        <v>188</v>
      </c>
      <c r="P6" s="245"/>
      <c r="Q6" s="245"/>
      <c r="R6" s="249"/>
      <c r="S6" s="229"/>
      <c r="T6"/>
      <c r="U6"/>
    </row>
    <row r="7" spans="1:25" s="4" customFormat="1" ht="19.5" customHeight="1" x14ac:dyDescent="0.25">
      <c r="A7" s="135">
        <v>1</v>
      </c>
      <c r="B7" s="129">
        <v>2</v>
      </c>
      <c r="C7" s="129">
        <v>3</v>
      </c>
      <c r="D7" s="128">
        <v>4</v>
      </c>
      <c r="E7" s="129">
        <v>5</v>
      </c>
      <c r="F7" s="129">
        <v>6</v>
      </c>
      <c r="G7" s="136">
        <v>7</v>
      </c>
      <c r="H7" s="143">
        <v>8</v>
      </c>
      <c r="I7" s="130">
        <v>9</v>
      </c>
      <c r="J7" s="131">
        <v>10</v>
      </c>
      <c r="K7" s="130">
        <v>11</v>
      </c>
      <c r="L7" s="130">
        <v>12</v>
      </c>
      <c r="M7" s="131">
        <v>13</v>
      </c>
      <c r="N7" s="130">
        <v>14</v>
      </c>
      <c r="O7" s="130">
        <v>15</v>
      </c>
      <c r="P7" s="131">
        <v>16</v>
      </c>
      <c r="Q7" s="130">
        <v>17</v>
      </c>
      <c r="R7" s="130">
        <v>18</v>
      </c>
      <c r="S7" s="229"/>
      <c r="T7"/>
      <c r="U7"/>
    </row>
    <row r="8" spans="1:25" s="4" customFormat="1" ht="45" customHeight="1" x14ac:dyDescent="0.25">
      <c r="A8" s="137" t="s">
        <v>128</v>
      </c>
      <c r="B8" s="132">
        <f>B9+B10+B11</f>
        <v>2127</v>
      </c>
      <c r="C8" s="132">
        <f t="shared" ref="C8:R8" si="0">C9+C10+C11</f>
        <v>103</v>
      </c>
      <c r="D8" s="132">
        <f t="shared" si="0"/>
        <v>455</v>
      </c>
      <c r="E8" s="132">
        <f t="shared" si="0"/>
        <v>2127</v>
      </c>
      <c r="F8" s="132">
        <f t="shared" si="0"/>
        <v>103</v>
      </c>
      <c r="G8" s="138">
        <f t="shared" si="0"/>
        <v>455</v>
      </c>
      <c r="H8" s="144">
        <f t="shared" si="0"/>
        <v>31</v>
      </c>
      <c r="I8" s="133">
        <f t="shared" si="0"/>
        <v>32</v>
      </c>
      <c r="J8" s="133">
        <f t="shared" si="0"/>
        <v>4</v>
      </c>
      <c r="K8" s="133">
        <f t="shared" si="0"/>
        <v>0</v>
      </c>
      <c r="L8" s="133">
        <f t="shared" si="0"/>
        <v>0</v>
      </c>
      <c r="M8" s="133">
        <f t="shared" si="0"/>
        <v>0</v>
      </c>
      <c r="N8" s="133">
        <f t="shared" si="0"/>
        <v>0</v>
      </c>
      <c r="O8" s="133">
        <f t="shared" si="0"/>
        <v>0</v>
      </c>
      <c r="P8" s="133">
        <f t="shared" si="0"/>
        <v>0</v>
      </c>
      <c r="Q8" s="133">
        <f t="shared" si="0"/>
        <v>0</v>
      </c>
      <c r="R8" s="145">
        <f t="shared" si="0"/>
        <v>0</v>
      </c>
      <c r="S8" s="72" t="str">
        <f>IF(U8&gt;0,"гр.2 &lt;= гр.3+гр.4 по строке «"&amp;T8&amp;"»","ОК")</f>
        <v>ОК</v>
      </c>
      <c r="T8" s="73" t="str">
        <f t="shared" ref="T8:T16" si="1">IF(U8&gt;0,INDEX($A$9:$A$11,U8,1),CHAR(151))</f>
        <v>—</v>
      </c>
      <c r="U8" s="74">
        <f t="shared" ref="U8:U16" si="2">IF(ISERROR(MATCH(FALSE,W8:Y8,0)),0,MATCH(FALSE,W8:Y8,0))</f>
        <v>0</v>
      </c>
      <c r="V8" s="75" t="s">
        <v>117</v>
      </c>
      <c r="W8" s="74" t="b">
        <f>IF(OR($B9&lt;&gt;0,SUM($C9:$D9)&lt;&gt;0),IF($B9&gt;SUM($C9:$D9),TRUE,FALSE),TRUE)</f>
        <v>1</v>
      </c>
      <c r="X8" s="74" t="b">
        <f>IF(OR($B10&lt;&gt;0,SUM($C10:$D10)&lt;&gt;0),IF($B10&gt;SUM($C10:$D10),TRUE,FALSE),TRUE)</f>
        <v>1</v>
      </c>
      <c r="Y8" s="74" t="b">
        <f>IF(OR($B11&lt;&gt;0,SUM($C11:$D11)&lt;&gt;0),IF($B11&gt;SUM($C11:$D11),TRUE,FALSE),TRUE)</f>
        <v>1</v>
      </c>
    </row>
    <row r="9" spans="1:25" s="4" customFormat="1" ht="38.25" customHeight="1" x14ac:dyDescent="0.25">
      <c r="A9" s="139" t="s">
        <v>109</v>
      </c>
      <c r="B9" s="119">
        <v>249</v>
      </c>
      <c r="C9" s="119">
        <v>27</v>
      </c>
      <c r="D9" s="119">
        <v>149</v>
      </c>
      <c r="E9" s="119">
        <v>249</v>
      </c>
      <c r="F9" s="119">
        <v>27</v>
      </c>
      <c r="G9" s="119">
        <v>149</v>
      </c>
      <c r="H9" s="120">
        <v>11</v>
      </c>
      <c r="I9" s="119">
        <v>12</v>
      </c>
      <c r="J9" s="119">
        <v>1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40">
        <v>0</v>
      </c>
      <c r="S9" s="72" t="str">
        <f>IF(U9&gt;0,"гр.2 &lt; гр.5 по строке «"&amp;T9&amp;"»","ОК")</f>
        <v>ОК</v>
      </c>
      <c r="T9" s="73" t="str">
        <f t="shared" si="1"/>
        <v>—</v>
      </c>
      <c r="U9" s="74">
        <f t="shared" si="2"/>
        <v>0</v>
      </c>
      <c r="V9" s="75" t="s">
        <v>118</v>
      </c>
      <c r="W9" s="74" t="b">
        <f>IF(OR($B9&lt;&gt;0,$E9&lt;&gt;0),IF($B9&gt;=$E9,TRUE,FALSE),TRUE)</f>
        <v>1</v>
      </c>
      <c r="X9" s="74" t="b">
        <f>IF(OR($B10&lt;&gt;0,$E10&lt;&gt;0),IF($B10&gt;=$E10,TRUE,FALSE),TRUE)</f>
        <v>1</v>
      </c>
      <c r="Y9" s="74" t="b">
        <f>IF(OR($B11&lt;&gt;0,$E11&lt;&gt;0),IF($B11&gt;=$E11,TRUE,FALSE),TRUE)</f>
        <v>1</v>
      </c>
    </row>
    <row r="10" spans="1:25" s="4" customFormat="1" ht="34.5" customHeight="1" x14ac:dyDescent="0.25">
      <c r="A10" s="139" t="s">
        <v>110</v>
      </c>
      <c r="B10" s="119">
        <v>1001</v>
      </c>
      <c r="C10" s="119">
        <v>46</v>
      </c>
      <c r="D10" s="119">
        <v>159</v>
      </c>
      <c r="E10" s="119">
        <v>1001</v>
      </c>
      <c r="F10" s="119">
        <v>46</v>
      </c>
      <c r="G10" s="119">
        <v>159</v>
      </c>
      <c r="H10" s="120">
        <v>14</v>
      </c>
      <c r="I10" s="119">
        <v>14</v>
      </c>
      <c r="J10" s="119">
        <v>3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v>0</v>
      </c>
      <c r="R10" s="140">
        <v>0</v>
      </c>
      <c r="S10" s="72" t="str">
        <f>IF(U10&gt;0,"гр.5 &lt;= гр.6+гр.7 по строке «"&amp;T10&amp;"»","ОК")</f>
        <v>ОК</v>
      </c>
      <c r="T10" s="73" t="str">
        <f t="shared" si="1"/>
        <v>—</v>
      </c>
      <c r="U10" s="74">
        <f t="shared" si="2"/>
        <v>0</v>
      </c>
      <c r="V10" s="75" t="s">
        <v>119</v>
      </c>
      <c r="W10" s="74" t="b">
        <f>IF(OR($E9&lt;&gt;0,SUM($F9:$G9)&lt;&gt;0),IF($E9&gt;SUM($F9:$G9),TRUE,FALSE),TRUE)</f>
        <v>1</v>
      </c>
      <c r="X10" s="74" t="b">
        <f>IF(OR($E10&lt;&gt;0,SUM($F10:$G10)&lt;&gt;0),IF($E10&gt;SUM($F10:$G10),TRUE,FALSE),TRUE)</f>
        <v>1</v>
      </c>
      <c r="Y10" s="74" t="b">
        <f>IF(OR($E11&lt;&gt;0,SUM($F11:$G11)&lt;&gt;0),IF($E11&gt;SUM($F11:$G11),TRUE,FALSE),TRUE)</f>
        <v>1</v>
      </c>
    </row>
    <row r="11" spans="1:25" s="4" customFormat="1" ht="42" customHeight="1" thickBot="1" x14ac:dyDescent="0.3">
      <c r="A11" s="141" t="s">
        <v>111</v>
      </c>
      <c r="B11" s="122">
        <v>877</v>
      </c>
      <c r="C11" s="122">
        <v>30</v>
      </c>
      <c r="D11" s="122">
        <v>147</v>
      </c>
      <c r="E11" s="122">
        <v>877</v>
      </c>
      <c r="F11" s="122">
        <v>30</v>
      </c>
      <c r="G11" s="122">
        <v>147</v>
      </c>
      <c r="H11" s="121">
        <v>6</v>
      </c>
      <c r="I11" s="122">
        <v>6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42">
        <v>0</v>
      </c>
      <c r="S11" s="72" t="str">
        <f>IF(U11&gt;0,"гр.8 &lt; гр.15 по строке «"&amp;T11&amp;"»","ОК")</f>
        <v>ОК</v>
      </c>
      <c r="T11" s="73" t="str">
        <f t="shared" si="1"/>
        <v>—</v>
      </c>
      <c r="U11" s="74">
        <f t="shared" si="2"/>
        <v>0</v>
      </c>
      <c r="V11" s="75" t="s">
        <v>148</v>
      </c>
      <c r="W11" s="74" t="b">
        <f>IF(OR($H9&lt;&gt;0,$P9&lt;&gt;0),IF($H9&gt;=$P9,TRUE,FALSE),TRUE)</f>
        <v>1</v>
      </c>
      <c r="X11" s="74" t="b">
        <f>IF(OR($H10&lt;&gt;0,$P10&lt;&gt;0),IF($H10&gt;=$P10,TRUE,FALSE),TRUE)</f>
        <v>1</v>
      </c>
      <c r="Y11" s="74" t="b">
        <f>IF(OR($H11&lt;&gt;0,$P11&lt;&gt;0),IF($H11&gt;=$P11,TRUE,FALSE),TRUE)</f>
        <v>1</v>
      </c>
    </row>
    <row r="12" spans="1:25" s="4" customFormat="1" ht="39" customHeight="1" x14ac:dyDescent="0.25">
      <c r="A12" s="117" t="s">
        <v>127</v>
      </c>
      <c r="B12" s="155">
        <f>'ДВН и профосмотр_общая '!D11</f>
        <v>2127</v>
      </c>
      <c r="C12"/>
      <c r="D12" s="15"/>
      <c r="E12" s="15"/>
      <c r="F12" s="15"/>
      <c r="G12" s="15"/>
      <c r="H12" s="15"/>
      <c r="I12" s="15"/>
      <c r="J12" s="16"/>
      <c r="K12" s="15"/>
      <c r="S12" s="124" t="str">
        <f>IF(U12&gt;0,"гр.8 &lt; гр.16 по строке «"&amp;T12&amp;"»","ОК")</f>
        <v>ОК</v>
      </c>
      <c r="T12" s="73" t="str">
        <f t="shared" si="1"/>
        <v>—</v>
      </c>
      <c r="U12" s="74">
        <f t="shared" si="2"/>
        <v>0</v>
      </c>
      <c r="V12" s="75" t="s">
        <v>149</v>
      </c>
      <c r="W12" s="74" t="b">
        <f>IF(OR($H9&lt;&gt;0,$Q9&lt;&gt;0),IF($H9&gt;=$Q9,TRUE,FALSE),TRUE)</f>
        <v>1</v>
      </c>
      <c r="X12" s="74" t="b">
        <f>IF(OR($H10&lt;&gt;0,$Q10&lt;&gt;0),IF($H10&gt;=$Q10,TRUE,FALSE),TRUE)</f>
        <v>1</v>
      </c>
      <c r="Y12" s="74" t="b">
        <f>IF(OR($H11&lt;&gt;0,$Q11&lt;&gt;0),IF($H11&gt;=$Q11,TRUE,FALSE),TRUE)</f>
        <v>1</v>
      </c>
    </row>
    <row r="13" spans="1:25" ht="39.75" customHeight="1" x14ac:dyDescent="0.25">
      <c r="B13" s="155">
        <f>B8-B12</f>
        <v>0</v>
      </c>
      <c r="S13" s="124" t="str">
        <f>IF(U13&gt;0,"гр.8 &gt; гр.9 по строке «"&amp;T13&amp;"»","ОК")</f>
        <v>ОК</v>
      </c>
      <c r="T13" s="73" t="str">
        <f t="shared" si="1"/>
        <v>—</v>
      </c>
      <c r="U13" s="74">
        <f t="shared" si="2"/>
        <v>0</v>
      </c>
      <c r="V13" s="75" t="s">
        <v>162</v>
      </c>
      <c r="W13" s="74" t="b">
        <f>IF(OR($H9&lt;&gt;0,$I9&lt;&gt;0),IF($H9&lt;=$I9,TRUE,FALSE),TRUE)</f>
        <v>1</v>
      </c>
      <c r="X13" s="74" t="b">
        <f>IF(OR($H10&lt;&gt;0,$I10&lt;&gt;0),IF($H10&lt;=$I10,TRUE,FALSE),TRUE)</f>
        <v>1</v>
      </c>
      <c r="Y13" s="74" t="b">
        <f>IF(OR($H11&lt;&gt;0,$I11&lt;&gt;0),IF($H11&lt;=$I11,TRUE,FALSE),TRUE)</f>
        <v>1</v>
      </c>
    </row>
    <row r="14" spans="1:25" ht="41.25" customHeight="1" x14ac:dyDescent="0.25">
      <c r="A14" s="253" t="s">
        <v>157</v>
      </c>
      <c r="B14" s="253"/>
      <c r="C14" s="253"/>
      <c r="D14" s="253"/>
      <c r="E14" s="253"/>
      <c r="F14" s="253"/>
      <c r="G14" s="253"/>
      <c r="H14" s="253"/>
      <c r="I14" s="253"/>
      <c r="S14" s="124" t="str">
        <f>IF(U14&gt;0,"гр.3 &lt; гр.6 по строке «"&amp;T14&amp;"»","ОК")</f>
        <v>ОК</v>
      </c>
      <c r="T14" s="73" t="str">
        <f t="shared" si="1"/>
        <v>—</v>
      </c>
      <c r="U14" s="74">
        <f t="shared" si="2"/>
        <v>0</v>
      </c>
      <c r="V14" s="75" t="s">
        <v>163</v>
      </c>
      <c r="W14" s="74" t="b">
        <f>IF(OR($C9&lt;&gt;0,$F9&lt;&gt;0),IF($C9&gt;=$F9,TRUE,FALSE),TRUE)</f>
        <v>1</v>
      </c>
      <c r="X14" s="74" t="b">
        <f>IF(OR($C10&lt;&gt;0,$F10&lt;&gt;0),IF($C10&gt;=$F10,TRUE,FALSE),TRUE)</f>
        <v>1</v>
      </c>
      <c r="Y14" s="74" t="b">
        <f>IF(OR($C11&lt;&gt;0,$F11&lt;&gt;0),IF($C11&gt;=$F11,TRUE,FALSE),TRUE)</f>
        <v>1</v>
      </c>
    </row>
    <row r="15" spans="1:25" ht="45" customHeight="1" x14ac:dyDescent="0.25">
      <c r="S15" s="124" t="str">
        <f>IF(U15&gt;0,"гр.4 &lt; гр.7 по строке «"&amp;T15&amp;"»","ОК")</f>
        <v>ОК</v>
      </c>
      <c r="T15" s="73" t="str">
        <f t="shared" si="1"/>
        <v>—</v>
      </c>
      <c r="U15" s="74">
        <f t="shared" si="2"/>
        <v>0</v>
      </c>
      <c r="V15" s="75" t="s">
        <v>164</v>
      </c>
      <c r="W15" s="74" t="b">
        <f>IF(OR($D9&lt;&gt;0,$G9&lt;&gt;0),IF($D9&gt;=$G9,TRUE,FALSE),TRUE)</f>
        <v>1</v>
      </c>
      <c r="X15" s="74" t="b">
        <f>IF(OR($D10&lt;&gt;0,$G10&lt;&gt;0),IF($D10&gt;=$G10,TRUE,FALSE),TRUE)</f>
        <v>1</v>
      </c>
      <c r="Y15" s="74" t="b">
        <f>IF(OR($D11&lt;&gt;0,$G11&lt;&gt;0),IF($D11&gt;=$G11,TRUE,FALSE),TRUE)</f>
        <v>1</v>
      </c>
    </row>
    <row r="16" spans="1:25" ht="45" customHeight="1" x14ac:dyDescent="0.25">
      <c r="S16" s="124" t="str">
        <f>IF(U16&gt;0,"гр.16 &lt; гр.17 по строке «"&amp;T16&amp;"»","ОК")</f>
        <v>ОК</v>
      </c>
      <c r="T16" s="73" t="str">
        <f t="shared" si="1"/>
        <v>—</v>
      </c>
      <c r="U16" s="74">
        <f t="shared" si="2"/>
        <v>0</v>
      </c>
      <c r="V16" s="75" t="s">
        <v>167</v>
      </c>
      <c r="W16" s="74" t="b">
        <f>IF(OR($Q9&lt;&gt;0,$R9&lt;&gt;0),IF($Q9&gt;=$R9,TRUE,FALSE),TRUE)</f>
        <v>1</v>
      </c>
      <c r="X16" s="74" t="b">
        <f>IF(OR($Q10&lt;&gt;0,$R10&lt;&gt;0),IF($Q10&gt;=$R10,TRUE,FALSE),TRUE)</f>
        <v>1</v>
      </c>
      <c r="Y16" s="74" t="b">
        <f>IF(OR($Q11&lt;&gt;0,$R11&lt;&gt;0),IF($Q11&gt;=$R11,TRUE,FALSE),TRUE)</f>
        <v>1</v>
      </c>
    </row>
    <row r="17" spans="7:23" x14ac:dyDescent="0.25">
      <c r="G17" s="115"/>
      <c r="W17" s="74"/>
    </row>
    <row r="18" spans="7:23" x14ac:dyDescent="0.25">
      <c r="G18" s="115"/>
      <c r="W18" s="74"/>
    </row>
  </sheetData>
  <sheetProtection password="DB70" sheet="1" objects="1" scenarios="1" sort="0" autoFilter="0"/>
  <mergeCells count="14">
    <mergeCell ref="A14:I14"/>
    <mergeCell ref="B1:I1"/>
    <mergeCell ref="A5:A6"/>
    <mergeCell ref="B5:D5"/>
    <mergeCell ref="H5:H6"/>
    <mergeCell ref="I5:I6"/>
    <mergeCell ref="A4:R4"/>
    <mergeCell ref="S4:S7"/>
    <mergeCell ref="P5:P6"/>
    <mergeCell ref="A3:H3"/>
    <mergeCell ref="E5:G5"/>
    <mergeCell ref="Q5:Q6"/>
    <mergeCell ref="R5:R6"/>
    <mergeCell ref="J5:O5"/>
  </mergeCells>
  <conditionalFormatting sqref="S8">
    <cfRule type="expression" dxfId="30" priority="14" stopIfTrue="1">
      <formula>S8&lt;&gt;"ОК"</formula>
    </cfRule>
  </conditionalFormatting>
  <conditionalFormatting sqref="S9">
    <cfRule type="expression" dxfId="29" priority="13" stopIfTrue="1">
      <formula>S9&lt;&gt;"ОК"</formula>
    </cfRule>
  </conditionalFormatting>
  <conditionalFormatting sqref="S10">
    <cfRule type="expression" dxfId="28" priority="12" stopIfTrue="1">
      <formula>S10&lt;&gt;"ОК"</formula>
    </cfRule>
  </conditionalFormatting>
  <conditionalFormatting sqref="S12">
    <cfRule type="expression" dxfId="27" priority="8" stopIfTrue="1">
      <formula>S12&lt;&gt;"ОК"</formula>
    </cfRule>
  </conditionalFormatting>
  <conditionalFormatting sqref="S11">
    <cfRule type="expression" dxfId="26" priority="9" stopIfTrue="1">
      <formula>S11&lt;&gt;"ОК"</formula>
    </cfRule>
  </conditionalFormatting>
  <conditionalFormatting sqref="S13">
    <cfRule type="expression" dxfId="25" priority="7" stopIfTrue="1">
      <formula>S13&lt;&gt;"ОК"</formula>
    </cfRule>
  </conditionalFormatting>
  <conditionalFormatting sqref="B12">
    <cfRule type="expression" dxfId="24" priority="5">
      <formula>$B$12&lt;&gt;$B$8</formula>
    </cfRule>
  </conditionalFormatting>
  <conditionalFormatting sqref="S14">
    <cfRule type="expression" dxfId="23" priority="4" stopIfTrue="1">
      <formula>S14&lt;&gt;"ОК"</formula>
    </cfRule>
  </conditionalFormatting>
  <conditionalFormatting sqref="S15">
    <cfRule type="expression" dxfId="22" priority="3" stopIfTrue="1">
      <formula>S15&lt;&gt;"ОК"</formula>
    </cfRule>
  </conditionalFormatting>
  <conditionalFormatting sqref="S16">
    <cfRule type="expression" dxfId="21" priority="2" stopIfTrue="1">
      <formula>S16&lt;&gt;"ОК"</formula>
    </cfRule>
  </conditionalFormatting>
  <conditionalFormatting sqref="B13">
    <cfRule type="expression" dxfId="20" priority="1">
      <formula>$B$12&lt;&gt;$B$8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B9:R11">
      <formula1>AND($A$1=TRUE,ISNUMBER(B9),B9&gt;=0,IF(ISERROR(SEARCH(",?",B9)),0,1)=0)</formula1>
    </dataValidation>
  </dataValidation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6" tint="-0.249977111117893"/>
    <pageSetUpPr fitToPage="1"/>
  </sheetPr>
  <dimension ref="A1:T16"/>
  <sheetViews>
    <sheetView zoomScale="70" zoomScaleNormal="70" workbookViewId="0">
      <selection activeCell="F8" sqref="F8"/>
    </sheetView>
  </sheetViews>
  <sheetFormatPr defaultRowHeight="15" x14ac:dyDescent="0.25"/>
  <cols>
    <col min="1" max="1" width="45.5703125" customWidth="1"/>
    <col min="2" max="2" width="13.28515625" customWidth="1"/>
    <col min="3" max="3" width="16.42578125" customWidth="1"/>
    <col min="4" max="4" width="14.5703125" bestFit="1" customWidth="1"/>
    <col min="5" max="5" width="12.28515625" customWidth="1"/>
    <col min="6" max="6" width="16.85546875" customWidth="1"/>
    <col min="7" max="7" width="13.5703125" customWidth="1"/>
    <col min="8" max="8" width="18.85546875" customWidth="1"/>
    <col min="9" max="9" width="20.5703125" customWidth="1"/>
    <col min="10" max="10" width="16.7109375" customWidth="1"/>
    <col min="11" max="11" width="18.42578125" customWidth="1"/>
    <col min="12" max="12" width="13.5703125" customWidth="1"/>
    <col min="13" max="15" width="14" customWidth="1"/>
    <col min="16" max="16" width="17.7109375" customWidth="1"/>
    <col min="17" max="17" width="17.42578125" customWidth="1"/>
    <col min="18" max="18" width="13.5703125" customWidth="1"/>
    <col min="19" max="19" width="34.42578125" customWidth="1"/>
    <col min="20" max="20" width="9.140625" hidden="1" customWidth="1"/>
  </cols>
  <sheetData>
    <row r="1" spans="1:20" ht="36.75" customHeight="1" x14ac:dyDescent="0.25">
      <c r="A1" s="91" t="b">
        <f>AND('ДВН и профосмотр_общая '!D2&lt;&gt;0,'ДВН и профосмотр_общая '!D4&lt;&gt;0,'ДВН и профосмотр_общая '!C14&lt;&gt;0,'ДВН и профосмотр_общая '!C15&lt;&gt;0,'ДВН и профосмотр_общая '!C16&lt;&gt;0)</f>
        <v>1</v>
      </c>
      <c r="B1" s="258" t="s">
        <v>134</v>
      </c>
      <c r="C1" s="258"/>
      <c r="D1" s="258"/>
      <c r="E1" s="258"/>
      <c r="F1" s="258"/>
      <c r="G1" s="258"/>
      <c r="H1" s="258"/>
      <c r="I1" s="258"/>
    </row>
    <row r="2" spans="1:20" ht="32.25" customHeight="1" x14ac:dyDescent="0.25"/>
    <row r="3" spans="1:20" ht="38.25" customHeight="1" x14ac:dyDescent="0.25">
      <c r="A3" s="246" t="s">
        <v>115</v>
      </c>
      <c r="B3" s="246"/>
      <c r="C3" s="246"/>
      <c r="D3" s="246"/>
      <c r="E3" s="246"/>
      <c r="F3" s="246"/>
      <c r="G3" s="246"/>
      <c r="H3" s="246"/>
      <c r="I3" s="246"/>
      <c r="J3" s="4"/>
      <c r="K3" s="4"/>
      <c r="L3" s="4"/>
      <c r="M3" s="4"/>
      <c r="N3" s="4"/>
      <c r="O3" s="4"/>
      <c r="P3" s="4"/>
      <c r="Q3" s="4"/>
      <c r="R3" s="4"/>
    </row>
    <row r="4" spans="1:20" ht="38.25" customHeight="1" x14ac:dyDescent="0.25">
      <c r="A4" s="257" t="s">
        <v>190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29" t="s">
        <v>158</v>
      </c>
    </row>
    <row r="5" spans="1:20" ht="35.25" customHeight="1" x14ac:dyDescent="0.25">
      <c r="A5" s="255" t="s">
        <v>107</v>
      </c>
      <c r="B5" s="247" t="s">
        <v>156</v>
      </c>
      <c r="C5" s="247"/>
      <c r="D5" s="247"/>
      <c r="E5" s="247" t="s">
        <v>108</v>
      </c>
      <c r="F5" s="247"/>
      <c r="G5" s="248"/>
      <c r="H5" s="256" t="s">
        <v>151</v>
      </c>
      <c r="I5" s="245" t="s">
        <v>147</v>
      </c>
      <c r="J5" s="259" t="s">
        <v>197</v>
      </c>
      <c r="K5" s="260"/>
      <c r="L5" s="260"/>
      <c r="M5" s="260"/>
      <c r="N5" s="260"/>
      <c r="O5" s="169"/>
      <c r="P5" s="245" t="s">
        <v>155</v>
      </c>
      <c r="Q5" s="245" t="s">
        <v>154</v>
      </c>
      <c r="R5" s="249" t="s">
        <v>146</v>
      </c>
      <c r="S5" s="229"/>
    </row>
    <row r="6" spans="1:20" ht="183" customHeight="1" x14ac:dyDescent="0.25">
      <c r="A6" s="255"/>
      <c r="B6" s="126" t="s">
        <v>72</v>
      </c>
      <c r="C6" s="125" t="s">
        <v>138</v>
      </c>
      <c r="D6" s="125" t="s">
        <v>139</v>
      </c>
      <c r="E6" s="125" t="s">
        <v>140</v>
      </c>
      <c r="F6" s="125" t="s">
        <v>141</v>
      </c>
      <c r="G6" s="134" t="s">
        <v>142</v>
      </c>
      <c r="H6" s="256"/>
      <c r="I6" s="245"/>
      <c r="J6" s="127" t="s">
        <v>116</v>
      </c>
      <c r="K6" s="127" t="s">
        <v>113</v>
      </c>
      <c r="L6" s="127" t="s">
        <v>153</v>
      </c>
      <c r="M6" s="127" t="s">
        <v>114</v>
      </c>
      <c r="N6" s="127" t="s">
        <v>145</v>
      </c>
      <c r="O6" s="170" t="s">
        <v>188</v>
      </c>
      <c r="P6" s="245"/>
      <c r="Q6" s="245"/>
      <c r="R6" s="249"/>
      <c r="S6" s="229"/>
    </row>
    <row r="7" spans="1:20" ht="19.5" customHeight="1" x14ac:dyDescent="0.25">
      <c r="A7" s="135">
        <v>1</v>
      </c>
      <c r="B7" s="129">
        <v>2</v>
      </c>
      <c r="C7" s="129">
        <v>3</v>
      </c>
      <c r="D7" s="128">
        <v>4</v>
      </c>
      <c r="E7" s="129">
        <v>5</v>
      </c>
      <c r="F7" s="129">
        <v>6</v>
      </c>
      <c r="G7" s="136">
        <v>7</v>
      </c>
      <c r="H7" s="143">
        <v>8</v>
      </c>
      <c r="I7" s="130">
        <v>9</v>
      </c>
      <c r="J7" s="131">
        <v>10</v>
      </c>
      <c r="K7" s="130">
        <v>11</v>
      </c>
      <c r="L7" s="130">
        <v>12</v>
      </c>
      <c r="M7" s="131">
        <v>13</v>
      </c>
      <c r="N7" s="130">
        <v>14</v>
      </c>
      <c r="O7" s="130">
        <v>15</v>
      </c>
      <c r="P7" s="131">
        <v>16</v>
      </c>
      <c r="Q7" s="130">
        <v>17</v>
      </c>
      <c r="R7" s="130">
        <v>18</v>
      </c>
      <c r="S7" s="229"/>
    </row>
    <row r="8" spans="1:20" ht="59.25" customHeight="1" thickBot="1" x14ac:dyDescent="0.3">
      <c r="A8" s="147" t="s">
        <v>150</v>
      </c>
      <c r="B8" s="148">
        <v>883</v>
      </c>
      <c r="C8" s="148">
        <v>42</v>
      </c>
      <c r="D8" s="148">
        <v>25</v>
      </c>
      <c r="E8" s="148">
        <v>883</v>
      </c>
      <c r="F8" s="148">
        <v>42</v>
      </c>
      <c r="G8" s="148">
        <v>25</v>
      </c>
      <c r="H8" s="151">
        <v>14</v>
      </c>
      <c r="I8" s="149">
        <v>14</v>
      </c>
      <c r="J8" s="149">
        <v>2</v>
      </c>
      <c r="K8" s="149">
        <v>1</v>
      </c>
      <c r="L8" s="149">
        <v>1</v>
      </c>
      <c r="M8" s="149">
        <v>0</v>
      </c>
      <c r="N8" s="149">
        <v>0</v>
      </c>
      <c r="O8" s="149">
        <v>0</v>
      </c>
      <c r="P8" s="149">
        <v>2</v>
      </c>
      <c r="Q8" s="149">
        <v>2</v>
      </c>
      <c r="R8" s="150">
        <v>2</v>
      </c>
      <c r="S8" s="146" t="str">
        <f>IF(OR(B8&lt;&gt;0,SUM(C8:D8)&lt;&gt;0),IF(B8&gt;SUM(C8:D8),"ОК","гр.2 &lt;= гр.3+гр.4"),"ОК")</f>
        <v>ОК</v>
      </c>
      <c r="T8" s="104" t="s">
        <v>117</v>
      </c>
    </row>
    <row r="9" spans="1:20" ht="45.75" customHeight="1" x14ac:dyDescent="0.25">
      <c r="A9" s="117" t="s">
        <v>127</v>
      </c>
      <c r="B9" s="154">
        <f>'ДВН и профосмотр_общая '!T11</f>
        <v>883</v>
      </c>
      <c r="S9" s="123" t="str">
        <f>IF(OR(B8&lt;&gt;0,E8&lt;&gt;0),IF(B8&lt;E8,"гр.2 &lt; гр.5","ОК"),"ОК")</f>
        <v>ОК</v>
      </c>
      <c r="T9" s="104" t="s">
        <v>118</v>
      </c>
    </row>
    <row r="10" spans="1:20" ht="38.25" customHeight="1" x14ac:dyDescent="0.25">
      <c r="B10" s="154">
        <f>B8-B9</f>
        <v>0</v>
      </c>
      <c r="F10" s="104"/>
      <c r="S10" s="123" t="str">
        <f>IF(OR(E8&lt;&gt;0,SUM(F8:G8)&lt;&gt;0),IF(E8&gt;SUM(F8:G8),"ОК","гр.5 &lt;= гр.6+гр.7"),"ОК")</f>
        <v>ОК</v>
      </c>
      <c r="T10" s="105" t="s">
        <v>119</v>
      </c>
    </row>
    <row r="11" spans="1:20" ht="36" customHeight="1" x14ac:dyDescent="0.25">
      <c r="A11" s="253" t="s">
        <v>157</v>
      </c>
      <c r="B11" s="253"/>
      <c r="C11" s="253"/>
      <c r="D11" s="253"/>
      <c r="E11" s="253"/>
      <c r="F11" s="253"/>
      <c r="G11" s="253"/>
      <c r="H11" s="253"/>
      <c r="I11" s="253"/>
      <c r="S11" s="123" t="str">
        <f>IF(OR(H8&lt;&gt;0,P8&lt;&gt;0),IF(H8&lt;P8,"гр.8 &lt; гр.15","ОК"),"ОК")</f>
        <v>ОК</v>
      </c>
      <c r="T11" s="105" t="s">
        <v>148</v>
      </c>
    </row>
    <row r="12" spans="1:20" ht="34.5" customHeight="1" x14ac:dyDescent="0.25">
      <c r="S12" s="123" t="str">
        <f>IF(OR(H8&lt;&gt;0,Q8&lt;&gt;0),IF(H8&lt;Q8,"гр.8 &lt; гр.16","ОК"),"ОК")</f>
        <v>ОК</v>
      </c>
      <c r="T12" s="105" t="s">
        <v>149</v>
      </c>
    </row>
    <row r="13" spans="1:20" ht="35.25" customHeight="1" x14ac:dyDescent="0.25">
      <c r="I13" s="104"/>
      <c r="S13" s="123" t="str">
        <f>IF(OR(H8&lt;&gt;0,I8&lt;&gt;0),IF(H8&gt;I8,"гр.8 &gt; гр.9","ОК"),"ОК")</f>
        <v>ОК</v>
      </c>
      <c r="T13" s="105" t="s">
        <v>162</v>
      </c>
    </row>
    <row r="14" spans="1:20" ht="39" customHeight="1" x14ac:dyDescent="0.25">
      <c r="S14" s="123" t="str">
        <f>IF(OR(C8&lt;&gt;0,F8&lt;&gt;0),IF(C8&lt;F8,"гр.3 &lt; гр.6","ОК"),"ОК")</f>
        <v>ОК</v>
      </c>
      <c r="T14" s="104" t="s">
        <v>165</v>
      </c>
    </row>
    <row r="15" spans="1:20" ht="39" customHeight="1" x14ac:dyDescent="0.25">
      <c r="S15" s="123" t="str">
        <f>IF(OR(D8&lt;&gt;0,G8&lt;&gt;0),IF(D8&lt;G8,"гр.3 &lt; гр.6","ОК"),"ОК")</f>
        <v>ОК</v>
      </c>
      <c r="T15" s="104" t="s">
        <v>166</v>
      </c>
    </row>
    <row r="16" spans="1:20" ht="45" customHeight="1" x14ac:dyDescent="0.25">
      <c r="S16" s="123" t="str">
        <f>IF(OR(Q8&lt;&gt;0,R8&lt;&gt;0),IF(Q8&lt;R8,"гр.16 &lt; гр.17","ОК"),"ОК")</f>
        <v>ОК</v>
      </c>
      <c r="T16" s="104" t="s">
        <v>168</v>
      </c>
    </row>
  </sheetData>
  <sheetProtection password="DB70" sheet="1" objects="1" scenarios="1" sort="0" autoFilter="0"/>
  <mergeCells count="14">
    <mergeCell ref="A11:I11"/>
    <mergeCell ref="A3:I3"/>
    <mergeCell ref="A5:A6"/>
    <mergeCell ref="B5:D5"/>
    <mergeCell ref="E5:G5"/>
    <mergeCell ref="A4:R4"/>
    <mergeCell ref="B1:I1"/>
    <mergeCell ref="S4:S7"/>
    <mergeCell ref="Q5:Q6"/>
    <mergeCell ref="R5:R6"/>
    <mergeCell ref="H5:H6"/>
    <mergeCell ref="I5:I6"/>
    <mergeCell ref="J5:N5"/>
    <mergeCell ref="P5:P6"/>
  </mergeCells>
  <conditionalFormatting sqref="S8">
    <cfRule type="expression" dxfId="19" priority="15" stopIfTrue="1">
      <formula>S8&lt;&gt;"ОК"</formula>
    </cfRule>
  </conditionalFormatting>
  <conditionalFormatting sqref="S9">
    <cfRule type="expression" dxfId="18" priority="13" stopIfTrue="1">
      <formula>S9&lt;&gt;"ОК"</formula>
    </cfRule>
  </conditionalFormatting>
  <conditionalFormatting sqref="S10">
    <cfRule type="expression" dxfId="17" priority="11" stopIfTrue="1">
      <formula>S10&lt;&gt;"ОК"</formula>
    </cfRule>
  </conditionalFormatting>
  <conditionalFormatting sqref="S11">
    <cfRule type="expression" dxfId="16" priority="9" stopIfTrue="1">
      <formula>S11&lt;&gt;"ОК"</formula>
    </cfRule>
  </conditionalFormatting>
  <conditionalFormatting sqref="S12">
    <cfRule type="expression" dxfId="15" priority="8" stopIfTrue="1">
      <formula>S12&lt;&gt;"ОК"</formula>
    </cfRule>
  </conditionalFormatting>
  <conditionalFormatting sqref="B9">
    <cfRule type="expression" dxfId="14" priority="7">
      <formula>$B$9&lt;&gt;$B$8</formula>
    </cfRule>
  </conditionalFormatting>
  <conditionalFormatting sqref="S13">
    <cfRule type="expression" dxfId="13" priority="6" stopIfTrue="1">
      <formula>S13&lt;&gt;"ОК"</formula>
    </cfRule>
  </conditionalFormatting>
  <conditionalFormatting sqref="S14">
    <cfRule type="expression" dxfId="12" priority="4" stopIfTrue="1">
      <formula>S14&lt;&gt;"ОК"</formula>
    </cfRule>
  </conditionalFormatting>
  <conditionalFormatting sqref="S15">
    <cfRule type="expression" dxfId="11" priority="3" stopIfTrue="1">
      <formula>S15&lt;&gt;"ОК"</formula>
    </cfRule>
  </conditionalFormatting>
  <conditionalFormatting sqref="S16">
    <cfRule type="expression" dxfId="10" priority="2" stopIfTrue="1">
      <formula>S16&lt;&gt;"ОК"</formula>
    </cfRule>
  </conditionalFormatting>
  <conditionalFormatting sqref="B10">
    <cfRule type="expression" dxfId="9" priority="1">
      <formula>$B$9&lt;&gt;$B$8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B8:R8">
      <formula1>AND($A$1=TRUE,ISNUMBER(B8),B8&gt;=0,IF(ISERROR(SEARCH(",?",B8)),0,1)=0)</formula1>
    </dataValidation>
  </dataValidations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E903D9"/>
    <pageSetUpPr fitToPage="1"/>
  </sheetPr>
  <dimension ref="A1:I13"/>
  <sheetViews>
    <sheetView workbookViewId="0">
      <selection activeCell="E12" sqref="E12"/>
    </sheetView>
  </sheetViews>
  <sheetFormatPr defaultRowHeight="15.75" x14ac:dyDescent="0.25"/>
  <cols>
    <col min="1" max="1" width="34.5703125" style="172" customWidth="1"/>
    <col min="2" max="2" width="15.7109375" style="172" customWidth="1"/>
    <col min="3" max="3" width="16.7109375" style="172" customWidth="1"/>
    <col min="4" max="4" width="16.28515625" style="172" customWidth="1"/>
    <col min="5" max="5" width="21.85546875" style="172" customWidth="1"/>
    <col min="6" max="6" width="25.140625" style="172" customWidth="1"/>
    <col min="7" max="7" width="16.42578125" style="172" customWidth="1"/>
    <col min="8" max="16384" width="9.140625" style="172"/>
  </cols>
  <sheetData>
    <row r="1" spans="1:9" x14ac:dyDescent="0.25">
      <c r="A1" s="91" t="b">
        <f>AND('ДВН и профосмотр_общая '!D2&lt;&gt;0,'ДВН и профосмотр_общая '!D4&lt;&gt;0,'ДВН и профосмотр_общая '!C14&lt;&gt;0,'ДВН и профосмотр_общая '!C15&lt;&gt;0,'ДВН и профосмотр_общая '!C16&lt;&gt;0)</f>
        <v>1</v>
      </c>
      <c r="B1" s="262"/>
      <c r="C1" s="262"/>
      <c r="D1" s="262"/>
      <c r="E1" s="262"/>
      <c r="F1" s="262"/>
      <c r="G1" s="262"/>
      <c r="H1" s="262"/>
      <c r="I1" s="262"/>
    </row>
    <row r="2" spans="1:9" ht="51.75" customHeight="1" x14ac:dyDescent="0.25">
      <c r="A2" s="173" t="s">
        <v>193</v>
      </c>
      <c r="B2" s="261" t="s">
        <v>192</v>
      </c>
      <c r="C2" s="261"/>
      <c r="D2" s="261"/>
      <c r="E2" s="261"/>
      <c r="F2" s="261"/>
      <c r="G2" s="261"/>
      <c r="H2" s="261"/>
      <c r="I2" s="261"/>
    </row>
    <row r="4" spans="1:9" x14ac:dyDescent="0.25">
      <c r="B4" s="264" t="s">
        <v>202</v>
      </c>
      <c r="C4" s="264"/>
      <c r="D4" s="264"/>
      <c r="E4" s="264"/>
      <c r="F4" s="264"/>
      <c r="G4" s="171"/>
      <c r="H4" s="171"/>
      <c r="I4" s="171"/>
    </row>
    <row r="5" spans="1:9" ht="86.25" customHeight="1" x14ac:dyDescent="0.25">
      <c r="A5" s="181" t="s">
        <v>195</v>
      </c>
      <c r="B5" s="174" t="s">
        <v>198</v>
      </c>
      <c r="C5" s="174" t="s">
        <v>199</v>
      </c>
      <c r="D5" s="175" t="s">
        <v>201</v>
      </c>
      <c r="E5" s="174" t="s">
        <v>196</v>
      </c>
      <c r="F5" s="176" t="s">
        <v>200</v>
      </c>
    </row>
    <row r="6" spans="1:9" s="185" customFormat="1" ht="13.5" customHeight="1" x14ac:dyDescent="0.2">
      <c r="A6" s="182">
        <v>1</v>
      </c>
      <c r="B6" s="183">
        <v>2</v>
      </c>
      <c r="C6" s="183">
        <v>3</v>
      </c>
      <c r="D6" s="184">
        <v>4</v>
      </c>
      <c r="E6" s="183">
        <v>5</v>
      </c>
      <c r="F6" s="183">
        <v>6</v>
      </c>
    </row>
    <row r="7" spans="1:9" ht="31.5" x14ac:dyDescent="0.25">
      <c r="A7" s="180" t="s">
        <v>204</v>
      </c>
      <c r="B7" s="177">
        <f>'ДВН-124н'!J8</f>
        <v>4</v>
      </c>
      <c r="C7" s="177">
        <f>'профосмотры 124н'!J8</f>
        <v>2</v>
      </c>
      <c r="D7" s="178">
        <f>B7+C7</f>
        <v>6</v>
      </c>
      <c r="E7" s="192">
        <v>211</v>
      </c>
      <c r="F7" s="193">
        <f t="shared" ref="F7:F12" si="0">IF(ISERROR(D7/E7*100),0,D7/E7*100)</f>
        <v>2.8436018957345972</v>
      </c>
    </row>
    <row r="8" spans="1:9" ht="33" customHeight="1" x14ac:dyDescent="0.25">
      <c r="A8" s="180" t="s">
        <v>205</v>
      </c>
      <c r="B8" s="177">
        <f>'ДВН-124н'!K8</f>
        <v>0</v>
      </c>
      <c r="C8" s="177">
        <f>'профосмотры 124н'!K8</f>
        <v>1</v>
      </c>
      <c r="D8" s="178">
        <f>B8+C8</f>
        <v>1</v>
      </c>
      <c r="E8" s="192">
        <v>35</v>
      </c>
      <c r="F8" s="193">
        <f t="shared" si="0"/>
        <v>2.8571428571428572</v>
      </c>
    </row>
    <row r="9" spans="1:9" ht="27" customHeight="1" x14ac:dyDescent="0.25">
      <c r="A9" s="180" t="s">
        <v>191</v>
      </c>
      <c r="B9" s="177">
        <f>'ДВН-124н'!M8</f>
        <v>0</v>
      </c>
      <c r="C9" s="177">
        <f>'профосмотры 124н'!M8</f>
        <v>0</v>
      </c>
      <c r="D9" s="178">
        <f>B9+C9</f>
        <v>0</v>
      </c>
      <c r="E9" s="178">
        <f>E10+E11</f>
        <v>41</v>
      </c>
      <c r="F9" s="193">
        <f t="shared" si="0"/>
        <v>0</v>
      </c>
    </row>
    <row r="10" spans="1:9" ht="18" customHeight="1" x14ac:dyDescent="0.25">
      <c r="A10" s="190" t="s">
        <v>206</v>
      </c>
      <c r="B10" s="177">
        <f>'ДВН-124н'!N8</f>
        <v>0</v>
      </c>
      <c r="C10" s="177">
        <f>'профосмотры 124н'!N8</f>
        <v>0</v>
      </c>
      <c r="D10" s="178">
        <f>B10+C10</f>
        <v>0</v>
      </c>
      <c r="E10" s="192">
        <v>0</v>
      </c>
      <c r="F10" s="193">
        <f t="shared" si="0"/>
        <v>0</v>
      </c>
    </row>
    <row r="11" spans="1:9" ht="23.25" customHeight="1" x14ac:dyDescent="0.25">
      <c r="A11" s="190" t="s">
        <v>207</v>
      </c>
      <c r="B11" s="177">
        <f>B9-B10</f>
        <v>0</v>
      </c>
      <c r="C11" s="177">
        <f>C9-C10</f>
        <v>0</v>
      </c>
      <c r="D11" s="178">
        <f>B11+C11</f>
        <v>0</v>
      </c>
      <c r="E11" s="192">
        <v>41</v>
      </c>
      <c r="F11" s="193">
        <f t="shared" si="0"/>
        <v>0</v>
      </c>
    </row>
    <row r="12" spans="1:9" ht="20.25" customHeight="1" x14ac:dyDescent="0.25">
      <c r="A12" s="179" t="s">
        <v>194</v>
      </c>
      <c r="B12" s="178">
        <f>B7+B8+B11</f>
        <v>4</v>
      </c>
      <c r="C12" s="178">
        <f>C7+C8+C11</f>
        <v>3</v>
      </c>
      <c r="D12" s="178">
        <f>D7+D8+D11</f>
        <v>7</v>
      </c>
      <c r="E12" s="178">
        <f>E7+E8+E11</f>
        <v>287</v>
      </c>
      <c r="F12" s="191">
        <f t="shared" si="0"/>
        <v>2.4390243902439024</v>
      </c>
    </row>
    <row r="13" spans="1:9" x14ac:dyDescent="0.25">
      <c r="B13" s="263"/>
      <c r="C13" s="263"/>
    </row>
  </sheetData>
  <sheetProtection password="DB70" sheet="1" objects="1" scenarios="1" sort="0" autoFilter="0"/>
  <mergeCells count="4">
    <mergeCell ref="B2:I2"/>
    <mergeCell ref="B1:I1"/>
    <mergeCell ref="B13:C13"/>
    <mergeCell ref="B4:F4"/>
  </mergeCells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E7:E11">
      <formula1>AND($A$1=TRUE,ISNUMBER(E7),E7&gt;=0,IF(ISERROR(SEARCH(",?",E7)),0,1)=0)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8" tint="0.39997558519241921"/>
    <pageSetUpPr fitToPage="1"/>
  </sheetPr>
  <dimension ref="A1:AF19"/>
  <sheetViews>
    <sheetView zoomScale="80" zoomScaleNormal="80" workbookViewId="0">
      <selection activeCell="E10" sqref="E10"/>
    </sheetView>
  </sheetViews>
  <sheetFormatPr defaultRowHeight="15" x14ac:dyDescent="0.25"/>
  <cols>
    <col min="1" max="1" width="22.28515625" style="19" customWidth="1"/>
    <col min="2" max="2" width="4.85546875" style="19" customWidth="1"/>
    <col min="3" max="3" width="36.5703125" style="20" customWidth="1"/>
    <col min="4" max="5" width="12.5703125" style="19" customWidth="1"/>
    <col min="6" max="6" width="11.28515625" style="19" customWidth="1"/>
    <col min="7" max="7" width="10.28515625" style="19" customWidth="1"/>
    <col min="8" max="9" width="11.5703125" style="19" customWidth="1"/>
    <col min="10" max="10" width="10.7109375" style="19" customWidth="1"/>
    <col min="11" max="11" width="9.85546875" style="19" customWidth="1"/>
    <col min="12" max="12" width="17.140625" style="19" customWidth="1"/>
    <col min="13" max="13" width="14.42578125" style="19" customWidth="1"/>
    <col min="14" max="14" width="16.28515625" style="19" customWidth="1"/>
    <col min="15" max="15" width="17.7109375" style="19" customWidth="1"/>
    <col min="16" max="16" width="15.5703125" style="19" customWidth="1"/>
    <col min="17" max="17" width="34.42578125" style="19" customWidth="1"/>
    <col min="18" max="19" width="9.140625" style="19" hidden="1" customWidth="1"/>
    <col min="20" max="20" width="30.28515625" style="19" hidden="1" customWidth="1"/>
    <col min="21" max="30" width="9.140625" style="19" hidden="1" customWidth="1"/>
    <col min="31" max="32" width="0" style="19" hidden="1" customWidth="1"/>
    <col min="33" max="16384" width="9.140625" style="19"/>
  </cols>
  <sheetData>
    <row r="1" spans="1:32" ht="18.75" customHeight="1" x14ac:dyDescent="0.3">
      <c r="A1" s="91" t="b">
        <f>AND('ДВН и профосмотр_общая '!D2&lt;&gt;0,'ДВН и профосмотр_общая '!D4&lt;&gt;0,'ДВН и профосмотр_общая '!C14&lt;&gt;0,'ДВН и профосмотр_общая '!C15&lt;&gt;0,'ДВН и профосмотр_общая '!C16&lt;&gt;0)</f>
        <v>1</v>
      </c>
      <c r="B1" s="70" t="s">
        <v>97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32" ht="18.75" x14ac:dyDescent="0.3">
      <c r="A2" s="9" t="b">
        <f>AND('ДВН и профосмотр_общая '!$D$2&lt;&gt;0,'ДВН и профосмотр_общая '!$D$4&lt;&gt;0,'ДВН и профосмотр_общая '!$C$14&lt;&gt;0,'ДВН и профосмотр_общая '!$C$15&lt;&gt;0,'ДВН и профосмотр_общая '!$C$16&lt;&gt;0)</f>
        <v>1</v>
      </c>
      <c r="B2" s="8"/>
      <c r="C2" s="278" t="s">
        <v>67</v>
      </c>
      <c r="D2" s="279"/>
      <c r="E2" s="279"/>
      <c r="F2" s="279"/>
      <c r="G2" s="8"/>
      <c r="H2" s="8"/>
      <c r="I2" s="8"/>
      <c r="J2" s="8"/>
      <c r="K2" s="8"/>
      <c r="L2" s="8"/>
    </row>
    <row r="3" spans="1:32" ht="15.75" thickBot="1" x14ac:dyDescent="0.3"/>
    <row r="4" spans="1:32" ht="60.75" hidden="1" thickBot="1" x14ac:dyDescent="0.3">
      <c r="F4" s="20" t="s">
        <v>101</v>
      </c>
      <c r="G4" s="20" t="s">
        <v>102</v>
      </c>
      <c r="H4" s="19">
        <v>4</v>
      </c>
      <c r="J4" s="20" t="s">
        <v>103</v>
      </c>
      <c r="K4" s="20" t="s">
        <v>104</v>
      </c>
      <c r="L4" s="19">
        <v>5</v>
      </c>
      <c r="M4" s="19">
        <v>6</v>
      </c>
      <c r="N4" s="19">
        <v>7</v>
      </c>
      <c r="O4" s="19">
        <v>8</v>
      </c>
      <c r="P4" s="19">
        <v>9</v>
      </c>
    </row>
    <row r="5" spans="1:32" ht="35.25" customHeight="1" thickBot="1" x14ac:dyDescent="0.3">
      <c r="A5" s="280" t="s">
        <v>81</v>
      </c>
      <c r="B5" s="276" t="s">
        <v>84</v>
      </c>
      <c r="C5" s="280" t="s">
        <v>82</v>
      </c>
      <c r="D5" s="282" t="s">
        <v>99</v>
      </c>
      <c r="E5" s="283"/>
      <c r="F5" s="266"/>
      <c r="G5" s="267"/>
      <c r="H5" s="282" t="s">
        <v>100</v>
      </c>
      <c r="I5" s="283"/>
      <c r="J5" s="266"/>
      <c r="K5" s="267"/>
      <c r="L5" s="265" t="s">
        <v>83</v>
      </c>
      <c r="M5" s="266"/>
      <c r="N5" s="266"/>
      <c r="O5" s="266"/>
      <c r="P5" s="267"/>
      <c r="Q5" s="229" t="str">
        <f>IF(R6&gt;0,INDEX(Q12:Q25,R6,1),"Проверка")</f>
        <v>Проверка</v>
      </c>
    </row>
    <row r="6" spans="1:32" ht="95.25" thickBot="1" x14ac:dyDescent="0.3">
      <c r="A6" s="281"/>
      <c r="B6" s="277"/>
      <c r="C6" s="281"/>
      <c r="D6" s="65" t="s">
        <v>5</v>
      </c>
      <c r="E6" s="153" t="s">
        <v>173</v>
      </c>
      <c r="F6" s="66" t="s">
        <v>169</v>
      </c>
      <c r="G6" s="67" t="s">
        <v>170</v>
      </c>
      <c r="H6" s="65" t="s">
        <v>5</v>
      </c>
      <c r="I6" s="153" t="s">
        <v>174</v>
      </c>
      <c r="J6" s="66" t="s">
        <v>171</v>
      </c>
      <c r="K6" s="67" t="s">
        <v>172</v>
      </c>
      <c r="L6" s="71" t="s">
        <v>130</v>
      </c>
      <c r="M6" s="68" t="s">
        <v>131</v>
      </c>
      <c r="N6" s="68" t="s">
        <v>132</v>
      </c>
      <c r="O6" s="68" t="s">
        <v>133</v>
      </c>
      <c r="P6" s="69" t="s">
        <v>85</v>
      </c>
      <c r="Q6" s="229"/>
    </row>
    <row r="7" spans="1:32" ht="15.75" customHeight="1" thickBot="1" x14ac:dyDescent="0.3">
      <c r="A7" s="57">
        <v>1</v>
      </c>
      <c r="B7" s="58"/>
      <c r="C7" s="57">
        <v>2</v>
      </c>
      <c r="D7" s="59">
        <v>3</v>
      </c>
      <c r="E7" s="152" t="s">
        <v>175</v>
      </c>
      <c r="F7" s="60" t="s">
        <v>176</v>
      </c>
      <c r="G7" s="61" t="s">
        <v>177</v>
      </c>
      <c r="H7" s="59">
        <v>4</v>
      </c>
      <c r="I7" s="156" t="s">
        <v>178</v>
      </c>
      <c r="J7" s="157" t="s">
        <v>179</v>
      </c>
      <c r="K7" s="158" t="s">
        <v>180</v>
      </c>
      <c r="L7" s="59">
        <v>5</v>
      </c>
      <c r="M7" s="62">
        <v>6</v>
      </c>
      <c r="N7" s="62">
        <v>7</v>
      </c>
      <c r="O7" s="62">
        <v>8</v>
      </c>
      <c r="P7" s="63">
        <v>9</v>
      </c>
      <c r="Q7" s="229"/>
    </row>
    <row r="8" spans="1:32" ht="18.75" x14ac:dyDescent="0.25">
      <c r="A8" s="268" t="s">
        <v>68</v>
      </c>
      <c r="B8" s="27">
        <v>1</v>
      </c>
      <c r="C8" s="39" t="s">
        <v>5</v>
      </c>
      <c r="D8" s="48">
        <f t="shared" ref="D8:D13" si="0">F8+G8</f>
        <v>1000</v>
      </c>
      <c r="E8" s="160">
        <v>1000</v>
      </c>
      <c r="F8" s="76">
        <v>400</v>
      </c>
      <c r="G8" s="77">
        <v>600</v>
      </c>
      <c r="H8" s="48">
        <f t="shared" ref="H8:H13" si="1">J8+K8</f>
        <v>1166</v>
      </c>
      <c r="I8" s="76">
        <v>1166</v>
      </c>
      <c r="J8" s="76">
        <v>655</v>
      </c>
      <c r="K8" s="77">
        <v>511</v>
      </c>
      <c r="L8" s="78">
        <v>0</v>
      </c>
      <c r="M8" s="76">
        <v>1164</v>
      </c>
      <c r="N8" s="76">
        <v>2</v>
      </c>
      <c r="O8" s="76">
        <v>0</v>
      </c>
      <c r="P8" s="78">
        <v>2</v>
      </c>
      <c r="Q8" s="72" t="str">
        <f>IF(S8&gt;0,"гр.4 ≠ гр.6+гр.7 по строке "&amp;R8,"ОК")</f>
        <v>ОК</v>
      </c>
      <c r="R8" s="73" t="str">
        <f>IF(S8&gt;0,INDEX($B$8:$B$16,S8,1),CHAR(151))</f>
        <v>—</v>
      </c>
      <c r="S8" s="74">
        <f>IF(ISERROR(MATCH(FALSE,U8:AC8,0)),0,MATCH(FALSE,U8:AC8,0))</f>
        <v>0</v>
      </c>
      <c r="T8" s="75" t="s">
        <v>87</v>
      </c>
      <c r="U8" s="74" t="b">
        <f>$H8=SUM($M8:$N8)</f>
        <v>1</v>
      </c>
      <c r="V8" s="74" t="b">
        <f>$H9=SUM($M9:$N9)</f>
        <v>1</v>
      </c>
      <c r="W8" s="74" t="b">
        <f>$H10=SUM($M10:$N10)</f>
        <v>1</v>
      </c>
      <c r="X8" s="74" t="b">
        <f>$H11=SUM($M11:$N11)</f>
        <v>1</v>
      </c>
      <c r="Y8" s="74" t="b">
        <f>$H12=SUM($M12:$N12)</f>
        <v>1</v>
      </c>
      <c r="Z8" s="74" t="b">
        <f>$H13=SUM($M13:$N13)</f>
        <v>1</v>
      </c>
      <c r="AA8" s="74" t="b">
        <f>$H14=SUM($M14:$N14)</f>
        <v>1</v>
      </c>
      <c r="AB8" s="74" t="b">
        <f>$H15=SUM($M15:$N15)</f>
        <v>1</v>
      </c>
      <c r="AC8" s="74" t="b">
        <f>$H16=SUM($M16:$N16)</f>
        <v>1</v>
      </c>
    </row>
    <row r="9" spans="1:32" ht="31.5" x14ac:dyDescent="0.25">
      <c r="A9" s="269"/>
      <c r="B9" s="28">
        <v>2</v>
      </c>
      <c r="C9" s="40" t="s">
        <v>86</v>
      </c>
      <c r="D9" s="49">
        <f t="shared" si="0"/>
        <v>900</v>
      </c>
      <c r="E9" s="161">
        <v>900</v>
      </c>
      <c r="F9" s="79">
        <v>350</v>
      </c>
      <c r="G9" s="80">
        <v>550</v>
      </c>
      <c r="H9" s="49">
        <f t="shared" si="1"/>
        <v>1066</v>
      </c>
      <c r="I9" s="79">
        <v>1066</v>
      </c>
      <c r="J9" s="79">
        <v>605</v>
      </c>
      <c r="K9" s="80">
        <v>461</v>
      </c>
      <c r="L9" s="81">
        <v>0</v>
      </c>
      <c r="M9" s="79">
        <v>1064</v>
      </c>
      <c r="N9" s="79">
        <v>2</v>
      </c>
      <c r="O9" s="79">
        <v>0</v>
      </c>
      <c r="P9" s="81">
        <v>2</v>
      </c>
      <c r="Q9" s="72" t="str">
        <f>IF(S9&gt;0,"гр.5 &gt;= гр.4 по строке "&amp;R9,"ОК")</f>
        <v>ОК</v>
      </c>
      <c r="R9" s="73" t="str">
        <f>IF(S9&gt;0,INDEX($B$8:$B$16,S9,1),CHAR(151))</f>
        <v>—</v>
      </c>
      <c r="S9" s="74">
        <f>IF(ISERROR(MATCH(FALSE,U9:AC9,0)),0,MATCH(FALSE,U9:AC9,0))</f>
        <v>0</v>
      </c>
      <c r="T9" s="75" t="s">
        <v>89</v>
      </c>
      <c r="U9" s="74" t="b">
        <f>IF(OR($L8&lt;&gt;0,$H8&lt;&gt;0),$L8&lt;$H8,TRUE)</f>
        <v>1</v>
      </c>
      <c r="V9" s="74" t="b">
        <f>IF(OR($L9&lt;&gt;0,$H9&lt;&gt;0),$L9&lt;$H9,TRUE)</f>
        <v>1</v>
      </c>
      <c r="W9" s="74" t="b">
        <f>IF(OR($L10&lt;&gt;0,$H10&lt;&gt;0),$L10&lt;$H10,TRUE)</f>
        <v>1</v>
      </c>
      <c r="X9" s="74" t="b">
        <f>IF(OR($L11&lt;&gt;0,$H11&lt;&gt;0),$L11&lt;$H11,TRUE)</f>
        <v>1</v>
      </c>
      <c r="Y9" s="74" t="b">
        <f>IF(OR($L12&lt;&gt;0,$H12&lt;&gt;0),$L12&lt;$H12,TRUE)</f>
        <v>1</v>
      </c>
      <c r="Z9" s="74" t="b">
        <f>IF(OR($L13&lt;&gt;0,$H13&lt;&gt;0),$L13&lt;$H13,TRUE)</f>
        <v>1</v>
      </c>
      <c r="AA9" s="74" t="b">
        <f>IF(OR($L14&lt;&gt;0,$H14&lt;&gt;0),$L14&lt;$H14,TRUE)</f>
        <v>1</v>
      </c>
      <c r="AB9" s="74" t="b">
        <f>IF(OR($L15&lt;&gt;0,$H15&lt;&gt;0),$L15&lt;$H15,TRUE)</f>
        <v>1</v>
      </c>
      <c r="AC9" s="74" t="b">
        <f>IF(OR($L16&lt;&gt;0,$H16&lt;&gt;0),$L16&lt;$H16,TRUE)</f>
        <v>1</v>
      </c>
    </row>
    <row r="10" spans="1:32" ht="19.5" thickBot="1" x14ac:dyDescent="0.3">
      <c r="A10" s="270"/>
      <c r="B10" s="29">
        <v>3</v>
      </c>
      <c r="C10" s="41" t="s">
        <v>88</v>
      </c>
      <c r="D10" s="50">
        <f t="shared" si="0"/>
        <v>100</v>
      </c>
      <c r="E10" s="162">
        <v>100</v>
      </c>
      <c r="F10" s="82">
        <v>50</v>
      </c>
      <c r="G10" s="83">
        <v>50</v>
      </c>
      <c r="H10" s="50">
        <f t="shared" si="1"/>
        <v>100</v>
      </c>
      <c r="I10" s="82">
        <v>100</v>
      </c>
      <c r="J10" s="82">
        <v>50</v>
      </c>
      <c r="K10" s="83">
        <v>50</v>
      </c>
      <c r="L10" s="84">
        <v>0</v>
      </c>
      <c r="M10" s="82">
        <v>100</v>
      </c>
      <c r="N10" s="82">
        <v>0</v>
      </c>
      <c r="O10" s="82">
        <v>0</v>
      </c>
      <c r="P10" s="84">
        <v>0</v>
      </c>
      <c r="Q10" s="72" t="str">
        <f>IF(S10&gt;0,"гр.8 &gt;= гр.4 по строке "&amp;R10,"ОК")</f>
        <v>ОК</v>
      </c>
      <c r="R10" s="73" t="str">
        <f>IF(S10&gt;0,INDEX($B$8:$B$16,S10,1),CHAR(151))</f>
        <v>—</v>
      </c>
      <c r="S10" s="74">
        <f>IF(ISERROR(MATCH(FALSE,U10:AC10,0)),0,MATCH(FALSE,U10:AC10,0))</f>
        <v>0</v>
      </c>
      <c r="T10" s="75" t="s">
        <v>90</v>
      </c>
      <c r="U10" s="74" t="b">
        <f>IF(OR($O8&lt;&gt;0,$H8&lt;&gt;0),$O8&lt;$H8,TRUE)</f>
        <v>1</v>
      </c>
      <c r="V10" s="74" t="b">
        <f>IF(OR($O9&lt;&gt;0,$H9&lt;&gt;0),$O9&lt;$H9,TRUE)</f>
        <v>1</v>
      </c>
      <c r="W10" s="74" t="b">
        <f>IF(OR($O10&lt;&gt;0,$H10&lt;&gt;0),$O10&lt;$H10,TRUE)</f>
        <v>1</v>
      </c>
      <c r="X10" s="74" t="b">
        <f>IF(OR($O11&lt;&gt;0,$H11&lt;&gt;0),$O11&lt;$H11,TRUE)</f>
        <v>1</v>
      </c>
      <c r="Y10" s="74" t="b">
        <f>IF(OR($O12&lt;&gt;0,$H12&lt;&gt;0),$O12&lt;$H12,TRUE)</f>
        <v>1</v>
      </c>
      <c r="Z10" s="74" t="b">
        <f>IF(OR($O13&lt;&gt;0,$H13&lt;&gt;0),$O13&lt;$H13,TRUE)</f>
        <v>1</v>
      </c>
      <c r="AA10" s="74" t="b">
        <f>IF(OR($O14&lt;&gt;0,$H14&lt;&gt;0),$O14&lt;$H14,TRUE)</f>
        <v>1</v>
      </c>
      <c r="AB10" s="74" t="b">
        <f>IF(OR($O15&lt;&gt;0,$H15&lt;&gt;0),$O15&lt;$H15,TRUE)</f>
        <v>1</v>
      </c>
      <c r="AC10" s="74" t="b">
        <f>IF(OR($O16&lt;&gt;0,$H16&lt;&gt;0),$O16&lt;$H16,TRUE)</f>
        <v>1</v>
      </c>
    </row>
    <row r="11" spans="1:32" ht="24" customHeight="1" x14ac:dyDescent="0.25">
      <c r="A11" s="271" t="s">
        <v>69</v>
      </c>
      <c r="B11" s="30">
        <v>4</v>
      </c>
      <c r="C11" s="42" t="s">
        <v>5</v>
      </c>
      <c r="D11" s="51">
        <f t="shared" si="0"/>
        <v>246</v>
      </c>
      <c r="E11" s="163">
        <v>246</v>
      </c>
      <c r="F11" s="85">
        <v>100</v>
      </c>
      <c r="G11" s="86">
        <v>146</v>
      </c>
      <c r="H11" s="51">
        <f t="shared" si="1"/>
        <v>246</v>
      </c>
      <c r="I11" s="85">
        <v>246</v>
      </c>
      <c r="J11" s="85">
        <v>100</v>
      </c>
      <c r="K11" s="86">
        <v>146</v>
      </c>
      <c r="L11" s="94">
        <v>0</v>
      </c>
      <c r="M11" s="85">
        <v>246</v>
      </c>
      <c r="N11" s="85">
        <v>0</v>
      </c>
      <c r="O11" s="85">
        <v>0</v>
      </c>
      <c r="P11" s="94">
        <v>0</v>
      </c>
      <c r="Q11" s="72" t="str">
        <f>IF(S11&gt;0,"гр.8 &gt; гр.5 по строке "&amp;R11,"ОК")</f>
        <v>ОК</v>
      </c>
      <c r="R11" s="73" t="str">
        <f>IF(S11&gt;0,INDEX($B$8:$B$16,S11,1),CHAR(151))</f>
        <v>—</v>
      </c>
      <c r="S11" s="74">
        <f>IF(ISERROR(MATCH(FALSE,U11:AC11,0)),0,MATCH(FALSE,U11:AC11,0))</f>
        <v>0</v>
      </c>
      <c r="T11" s="75" t="s">
        <v>91</v>
      </c>
      <c r="U11" s="74" t="b">
        <f>$O8&lt;=$L8</f>
        <v>1</v>
      </c>
      <c r="V11" s="74" t="b">
        <f>$O9&lt;=$L9</f>
        <v>1</v>
      </c>
      <c r="W11" s="74" t="b">
        <f>$O10&lt;=$L10</f>
        <v>1</v>
      </c>
      <c r="X11" s="74" t="b">
        <f>$O11&lt;=$L11</f>
        <v>1</v>
      </c>
      <c r="Y11" s="74" t="b">
        <f>$O12&lt;=$L12</f>
        <v>1</v>
      </c>
      <c r="Z11" s="74" t="b">
        <f>$O13&lt;=$L13</f>
        <v>1</v>
      </c>
      <c r="AA11" s="74" t="b">
        <f>$O14&lt;=$L14</f>
        <v>1</v>
      </c>
      <c r="AB11" s="74" t="b">
        <f>$O15&lt;=$L15</f>
        <v>1</v>
      </c>
      <c r="AC11" s="74" t="b">
        <f>$O16&lt;=$L16</f>
        <v>1</v>
      </c>
    </row>
    <row r="12" spans="1:32" ht="31.5" x14ac:dyDescent="0.25">
      <c r="A12" s="272"/>
      <c r="B12" s="31">
        <v>5</v>
      </c>
      <c r="C12" s="43" t="s">
        <v>86</v>
      </c>
      <c r="D12" s="52">
        <f t="shared" si="0"/>
        <v>220</v>
      </c>
      <c r="E12" s="164">
        <v>220</v>
      </c>
      <c r="F12" s="87">
        <v>92</v>
      </c>
      <c r="G12" s="88">
        <v>128</v>
      </c>
      <c r="H12" s="52">
        <f t="shared" si="1"/>
        <v>220</v>
      </c>
      <c r="I12" s="87">
        <v>220</v>
      </c>
      <c r="J12" s="87">
        <v>92</v>
      </c>
      <c r="K12" s="88">
        <v>128</v>
      </c>
      <c r="L12" s="95">
        <v>0</v>
      </c>
      <c r="M12" s="87">
        <v>220</v>
      </c>
      <c r="N12" s="87">
        <v>0</v>
      </c>
      <c r="O12" s="87">
        <v>0</v>
      </c>
      <c r="P12" s="95">
        <v>0</v>
      </c>
      <c r="Q12" s="72" t="str">
        <f>IF(S12&gt;0,"гр.9 &gt;= гр.4 по строке "&amp;R12,"ОК")</f>
        <v>ОК</v>
      </c>
      <c r="R12" s="73" t="str">
        <f>IF(S12&gt;0,INDEX($B$8:$B$16,S12,1),CHAR(151))</f>
        <v>—</v>
      </c>
      <c r="S12" s="74">
        <f>IF(ISERROR(MATCH(FALSE,U12:AC12,0)),0,MATCH(FALSE,U12:AC12,0))</f>
        <v>0</v>
      </c>
      <c r="T12" s="75" t="s">
        <v>92</v>
      </c>
      <c r="U12" s="74" t="b">
        <f>IF(OR($P8&lt;&gt;0,$H8&lt;&gt;0),$P8&lt;$H8,TRUE)</f>
        <v>1</v>
      </c>
      <c r="V12" s="74" t="b">
        <f>IF(OR($P9&lt;&gt;0,$H9&lt;&gt;0),$P9&lt;$H9,TRUE)</f>
        <v>1</v>
      </c>
      <c r="W12" s="74" t="b">
        <f>IF(OR($P10&lt;&gt;0,$H10&lt;&gt;0),$P10&lt;$H10,TRUE)</f>
        <v>1</v>
      </c>
      <c r="X12" s="74" t="b">
        <f>IF(OR($P11&lt;&gt;0,$H11&lt;&gt;0),$P11&lt;$H11,TRUE)</f>
        <v>1</v>
      </c>
      <c r="Y12" s="74" t="b">
        <f>IF(OR($P12&lt;&gt;0,$H12&lt;&gt;0),$P12&lt;$H12,TRUE)</f>
        <v>1</v>
      </c>
      <c r="Z12" s="74" t="b">
        <f>IF(OR($P13&lt;&gt;0,$H13&lt;&gt;0),$P13&lt;$H13,TRUE)</f>
        <v>1</v>
      </c>
      <c r="AA12" s="74" t="b">
        <f>IF(OR($P14&lt;&gt;0,$H14&lt;&gt;0),$P14&lt;$H14,TRUE)</f>
        <v>1</v>
      </c>
      <c r="AB12" s="74" t="b">
        <f>IF(OR($P15&lt;&gt;0,$H15&lt;&gt;0),$P15&lt;$H15,TRUE)</f>
        <v>1</v>
      </c>
      <c r="AC12" s="74" t="b">
        <f>IF(OR($P16&lt;&gt;0,$H16&lt;&gt;0),$P16&lt;$H16,TRUE)</f>
        <v>1</v>
      </c>
    </row>
    <row r="13" spans="1:32" ht="27.75" customHeight="1" thickBot="1" x14ac:dyDescent="0.3">
      <c r="A13" s="273"/>
      <c r="B13" s="32">
        <v>6</v>
      </c>
      <c r="C13" s="44" t="s">
        <v>88</v>
      </c>
      <c r="D13" s="53">
        <f t="shared" si="0"/>
        <v>18</v>
      </c>
      <c r="E13" s="165">
        <v>18</v>
      </c>
      <c r="F13" s="89">
        <v>8</v>
      </c>
      <c r="G13" s="90">
        <v>10</v>
      </c>
      <c r="H13" s="53">
        <f t="shared" si="1"/>
        <v>18</v>
      </c>
      <c r="I13" s="89">
        <v>18</v>
      </c>
      <c r="J13" s="89">
        <v>8</v>
      </c>
      <c r="K13" s="90">
        <v>10</v>
      </c>
      <c r="L13" s="96">
        <v>0</v>
      </c>
      <c r="M13" s="89">
        <v>18</v>
      </c>
      <c r="N13" s="89">
        <v>0</v>
      </c>
      <c r="O13" s="89">
        <v>0</v>
      </c>
      <c r="P13" s="96">
        <v>0</v>
      </c>
      <c r="Q13" s="72" t="str">
        <f>IF(S13&gt;0,"стр.1 &lt; стр.2+стр.3 по графе "&amp;R13,"ОК")</f>
        <v>ОК</v>
      </c>
      <c r="R13" s="92" t="str">
        <f>IF(S13&gt;0,INDEX($F$4:$P$4,1,S13),CHAR(151))</f>
        <v>—</v>
      </c>
      <c r="S13" s="93">
        <f>IF(ISERROR(MATCH(FALSE,U13:AF13,0)),0,MATCH(FALSE,U13:AF13,0))</f>
        <v>0</v>
      </c>
      <c r="T13" s="75" t="s">
        <v>94</v>
      </c>
      <c r="U13" s="74" t="b">
        <f>E8&gt;=SUM(E9:E10)</f>
        <v>1</v>
      </c>
      <c r="V13" s="74" t="b">
        <f t="shared" ref="V13:AD13" si="2">F8&gt;=SUM(F9:F10)</f>
        <v>1</v>
      </c>
      <c r="W13" s="74" t="b">
        <f t="shared" si="2"/>
        <v>1</v>
      </c>
      <c r="X13" s="97" t="b">
        <v>1</v>
      </c>
      <c r="Y13" s="74" t="b">
        <f t="shared" si="2"/>
        <v>1</v>
      </c>
      <c r="Z13" s="74" t="b">
        <f t="shared" si="2"/>
        <v>1</v>
      </c>
      <c r="AA13" s="74" t="b">
        <f t="shared" si="2"/>
        <v>1</v>
      </c>
      <c r="AB13" s="74" t="b">
        <f t="shared" si="2"/>
        <v>1</v>
      </c>
      <c r="AC13" s="74" t="b">
        <f t="shared" si="2"/>
        <v>1</v>
      </c>
      <c r="AD13" s="74" t="b">
        <f t="shared" si="2"/>
        <v>1</v>
      </c>
      <c r="AE13" s="74" t="b">
        <f>O8&gt;=SUM(O9:O10)</f>
        <v>1</v>
      </c>
      <c r="AF13" s="74" t="b">
        <f>P8&gt;=SUM(P9:P10)</f>
        <v>1</v>
      </c>
    </row>
    <row r="14" spans="1:32" ht="37.5" customHeight="1" x14ac:dyDescent="0.25">
      <c r="A14" s="274" t="s">
        <v>93</v>
      </c>
      <c r="B14" s="33">
        <v>7</v>
      </c>
      <c r="C14" s="45" t="s">
        <v>5</v>
      </c>
      <c r="D14" s="54">
        <f>D8+D11</f>
        <v>1246</v>
      </c>
      <c r="E14" s="166">
        <v>1246</v>
      </c>
      <c r="F14" s="22">
        <f t="shared" ref="F14:P16" si="3">F8+F11</f>
        <v>500</v>
      </c>
      <c r="G14" s="23">
        <f t="shared" si="3"/>
        <v>746</v>
      </c>
      <c r="H14" s="54">
        <f t="shared" si="3"/>
        <v>1412</v>
      </c>
      <c r="I14" s="166">
        <v>1367</v>
      </c>
      <c r="J14" s="22">
        <f t="shared" si="3"/>
        <v>755</v>
      </c>
      <c r="K14" s="23">
        <f t="shared" si="3"/>
        <v>657</v>
      </c>
      <c r="L14" s="36">
        <f t="shared" si="3"/>
        <v>0</v>
      </c>
      <c r="M14" s="22">
        <f t="shared" si="3"/>
        <v>1410</v>
      </c>
      <c r="N14" s="22">
        <f t="shared" si="3"/>
        <v>2</v>
      </c>
      <c r="O14" s="22">
        <f t="shared" si="3"/>
        <v>0</v>
      </c>
      <c r="P14" s="23">
        <f t="shared" si="3"/>
        <v>2</v>
      </c>
      <c r="Q14" s="72" t="str">
        <f>IF(S14&gt;0,"стр.4 &lt; стр.5+стр.6 по графе "&amp;R14,"ОК")</f>
        <v>ОК</v>
      </c>
      <c r="R14" s="92" t="str">
        <f>IF(S14&gt;0,INDEX($F$4:$P$4,1,S14),CHAR(151))</f>
        <v>—</v>
      </c>
      <c r="S14" s="93">
        <f>IF(ISERROR(MATCH(FALSE,U14:AF14,0)),0,MATCH(FALSE,U14:AF14,0))</f>
        <v>0</v>
      </c>
      <c r="T14" s="75" t="s">
        <v>95</v>
      </c>
      <c r="U14" s="74" t="b">
        <f>E11&gt;=SUM(E12:E13)</f>
        <v>1</v>
      </c>
      <c r="V14" s="74" t="b">
        <f t="shared" ref="V14:AF14" si="4">F11&gt;=SUM(F12:F13)</f>
        <v>1</v>
      </c>
      <c r="W14" s="74" t="b">
        <f t="shared" si="4"/>
        <v>1</v>
      </c>
      <c r="X14" s="97" t="b">
        <v>1</v>
      </c>
      <c r="Y14" s="74" t="b">
        <f t="shared" si="4"/>
        <v>1</v>
      </c>
      <c r="Z14" s="74" t="b">
        <f t="shared" si="4"/>
        <v>1</v>
      </c>
      <c r="AA14" s="74" t="b">
        <f t="shared" si="4"/>
        <v>1</v>
      </c>
      <c r="AB14" s="74" t="b">
        <f t="shared" si="4"/>
        <v>1</v>
      </c>
      <c r="AC14" s="74" t="b">
        <f t="shared" si="4"/>
        <v>1</v>
      </c>
      <c r="AD14" s="74" t="b">
        <f t="shared" si="4"/>
        <v>1</v>
      </c>
      <c r="AE14" s="74" t="b">
        <f t="shared" si="4"/>
        <v>1</v>
      </c>
      <c r="AF14" s="74" t="b">
        <f t="shared" si="4"/>
        <v>1</v>
      </c>
    </row>
    <row r="15" spans="1:32" ht="51" customHeight="1" x14ac:dyDescent="0.25">
      <c r="A15" s="274"/>
      <c r="B15" s="34">
        <v>8</v>
      </c>
      <c r="C15" s="46" t="s">
        <v>86</v>
      </c>
      <c r="D15" s="55">
        <f>D9+D12</f>
        <v>1120</v>
      </c>
      <c r="E15" s="167">
        <v>1118</v>
      </c>
      <c r="F15" s="21">
        <f t="shared" si="3"/>
        <v>442</v>
      </c>
      <c r="G15" s="24">
        <f t="shared" si="3"/>
        <v>678</v>
      </c>
      <c r="H15" s="55">
        <f t="shared" si="3"/>
        <v>1286</v>
      </c>
      <c r="I15" s="167">
        <v>1249</v>
      </c>
      <c r="J15" s="21">
        <f t="shared" si="3"/>
        <v>697</v>
      </c>
      <c r="K15" s="24">
        <f t="shared" si="3"/>
        <v>589</v>
      </c>
      <c r="L15" s="37">
        <f t="shared" si="3"/>
        <v>0</v>
      </c>
      <c r="M15" s="21">
        <f t="shared" si="3"/>
        <v>1284</v>
      </c>
      <c r="N15" s="21">
        <f t="shared" si="3"/>
        <v>2</v>
      </c>
      <c r="O15" s="21">
        <f t="shared" si="3"/>
        <v>0</v>
      </c>
      <c r="P15" s="24">
        <f t="shared" si="3"/>
        <v>2</v>
      </c>
      <c r="Q15" s="72" t="str">
        <f>IF(S15&gt;0,"стр.7 &lt; стр.8+стр.9 по графе "&amp;R15,"ОК")</f>
        <v>ОК</v>
      </c>
      <c r="R15" s="92" t="str">
        <f>IF(S15&gt;0,INDEX($F$4:$P$4,1,S15),CHAR(151))</f>
        <v>—</v>
      </c>
      <c r="S15" s="93">
        <f>IF(ISERROR(MATCH(FALSE,U15:AF15,0)),0,MATCH(FALSE,U15:AF15,0))</f>
        <v>0</v>
      </c>
      <c r="T15" s="75" t="s">
        <v>96</v>
      </c>
      <c r="U15" s="74" t="b">
        <f>E14&gt;=SUM(E15:E16)</f>
        <v>1</v>
      </c>
      <c r="V15" s="97" t="b">
        <v>1</v>
      </c>
      <c r="W15" s="97" t="b">
        <v>1</v>
      </c>
      <c r="X15" s="97" t="b">
        <v>1</v>
      </c>
      <c r="Y15" s="74" t="b">
        <f>I14&gt;=SUM(I15:I16)</f>
        <v>1</v>
      </c>
      <c r="Z15" s="97" t="b">
        <v>1</v>
      </c>
      <c r="AA15" s="97" t="b">
        <v>1</v>
      </c>
      <c r="AB15" s="97" t="b">
        <v>1</v>
      </c>
      <c r="AC15" s="97" t="b">
        <v>1</v>
      </c>
      <c r="AD15" s="97" t="b">
        <v>1</v>
      </c>
      <c r="AE15" s="97" t="b">
        <v>1</v>
      </c>
      <c r="AF15" s="97" t="b">
        <v>1</v>
      </c>
    </row>
    <row r="16" spans="1:32" ht="28.5" customHeight="1" thickBot="1" x14ac:dyDescent="0.3">
      <c r="A16" s="275"/>
      <c r="B16" s="35">
        <v>9</v>
      </c>
      <c r="C16" s="47" t="s">
        <v>88</v>
      </c>
      <c r="D16" s="56">
        <f>D10+D13</f>
        <v>118</v>
      </c>
      <c r="E16" s="168">
        <v>118</v>
      </c>
      <c r="F16" s="25">
        <f t="shared" si="3"/>
        <v>58</v>
      </c>
      <c r="G16" s="26">
        <f t="shared" si="3"/>
        <v>60</v>
      </c>
      <c r="H16" s="56">
        <f t="shared" si="3"/>
        <v>118</v>
      </c>
      <c r="I16" s="168">
        <v>118</v>
      </c>
      <c r="J16" s="25">
        <f t="shared" si="3"/>
        <v>58</v>
      </c>
      <c r="K16" s="26">
        <f t="shared" si="3"/>
        <v>60</v>
      </c>
      <c r="L16" s="38">
        <f t="shared" si="3"/>
        <v>0</v>
      </c>
      <c r="M16" s="25">
        <f t="shared" si="3"/>
        <v>118</v>
      </c>
      <c r="N16" s="25">
        <f t="shared" si="3"/>
        <v>0</v>
      </c>
      <c r="O16" s="25">
        <f t="shared" si="3"/>
        <v>0</v>
      </c>
      <c r="P16" s="26">
        <f t="shared" si="3"/>
        <v>0</v>
      </c>
      <c r="Q16" s="72" t="str">
        <f>IF(S16&gt;0,"гр.3.1 &gt; гр.3 по строке "&amp;R16,"ОК")</f>
        <v>ОК</v>
      </c>
      <c r="R16" s="73" t="str">
        <f>IF(S16&gt;0,INDEX($B$8:$B$16,S16,1),CHAR(151))</f>
        <v>—</v>
      </c>
      <c r="S16" s="74">
        <f>IF(ISERROR(MATCH(FALSE,U16:AC16,0)),0,MATCH(FALSE,U16:AC16,0))</f>
        <v>0</v>
      </c>
      <c r="T16" s="75" t="s">
        <v>181</v>
      </c>
      <c r="U16" s="74" t="b">
        <f>$E8&lt;=$D8</f>
        <v>1</v>
      </c>
      <c r="V16" s="74" t="b">
        <f>$E9&lt;=$D9</f>
        <v>1</v>
      </c>
      <c r="W16" s="74" t="b">
        <f>$E10&lt;=$D10</f>
        <v>1</v>
      </c>
      <c r="X16" s="74" t="b">
        <f>$E11&lt;=$D11</f>
        <v>1</v>
      </c>
      <c r="Y16" s="74" t="b">
        <f>$E12&lt;=$D12</f>
        <v>1</v>
      </c>
      <c r="Z16" s="74" t="b">
        <f>$E13&lt;=$D13</f>
        <v>1</v>
      </c>
      <c r="AA16" s="74" t="b">
        <f>$E14&lt;=$D14</f>
        <v>1</v>
      </c>
      <c r="AB16" s="74" t="b">
        <f>$E15&lt;=$D15</f>
        <v>1</v>
      </c>
      <c r="AC16" s="74" t="b">
        <f>$E16&lt;=$D16</f>
        <v>1</v>
      </c>
    </row>
    <row r="17" spans="17:21" x14ac:dyDescent="0.25">
      <c r="Q17" s="64"/>
      <c r="U17" s="74"/>
    </row>
    <row r="18" spans="17:21" x14ac:dyDescent="0.25">
      <c r="U18" s="74"/>
    </row>
    <row r="19" spans="17:21" x14ac:dyDescent="0.25">
      <c r="U19" s="74"/>
    </row>
  </sheetData>
  <sheetProtection password="DB70" sheet="1" objects="1" scenarios="1" sort="0" autoFilter="0"/>
  <mergeCells count="11">
    <mergeCell ref="C2:F2"/>
    <mergeCell ref="A5:A6"/>
    <mergeCell ref="C5:C6"/>
    <mergeCell ref="D5:G5"/>
    <mergeCell ref="H5:K5"/>
    <mergeCell ref="Q5:Q7"/>
    <mergeCell ref="L5:P5"/>
    <mergeCell ref="A8:A10"/>
    <mergeCell ref="A11:A13"/>
    <mergeCell ref="A14:A16"/>
    <mergeCell ref="B5:B6"/>
  </mergeCells>
  <conditionalFormatting sqref="Q8">
    <cfRule type="expression" dxfId="8" priority="11" stopIfTrue="1">
      <formula>Q8&lt;&gt;"ОК"</formula>
    </cfRule>
  </conditionalFormatting>
  <conditionalFormatting sqref="Q9">
    <cfRule type="expression" dxfId="7" priority="10" stopIfTrue="1">
      <formula>Q9&lt;&gt;"ОК"</formula>
    </cfRule>
  </conditionalFormatting>
  <conditionalFormatting sqref="Q10">
    <cfRule type="expression" dxfId="6" priority="9" stopIfTrue="1">
      <formula>Q10&lt;&gt;"ОК"</formula>
    </cfRule>
  </conditionalFormatting>
  <conditionalFormatting sqref="Q11">
    <cfRule type="expression" dxfId="5" priority="8" stopIfTrue="1">
      <formula>Q11&lt;&gt;"ОК"</formula>
    </cfRule>
  </conditionalFormatting>
  <conditionalFormatting sqref="Q12">
    <cfRule type="expression" dxfId="4" priority="6" stopIfTrue="1">
      <formula>Q12&lt;&gt;"ОК"</formula>
    </cfRule>
  </conditionalFormatting>
  <conditionalFormatting sqref="Q13">
    <cfRule type="expression" dxfId="3" priority="4" stopIfTrue="1">
      <formula>Q13&lt;&gt;"ОК"</formula>
    </cfRule>
  </conditionalFormatting>
  <conditionalFormatting sqref="Q14">
    <cfRule type="expression" dxfId="2" priority="3" stopIfTrue="1">
      <formula>Q14&lt;&gt;"ОК"</formula>
    </cfRule>
  </conditionalFormatting>
  <conditionalFormatting sqref="Q15">
    <cfRule type="expression" dxfId="1" priority="2" stopIfTrue="1">
      <formula>Q15&lt;&gt;"ОК"</formula>
    </cfRule>
  </conditionalFormatting>
  <conditionalFormatting sqref="Q16">
    <cfRule type="expression" dxfId="0" priority="1" stopIfTrue="1">
      <formula>Q16&lt;&gt;"ОК"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на листе «ДВН и профосмотры» ВВЕСТИ:_x000a_1) дату и название организации;_x000a_2) Ф.И.О. гл.врача, исполнителя и ТЕЛЕФОН ИСПОЛНИТЕЛЯ._x000a_▬_x000a_В эту ячейку можно ввести ТОЛЬКО ЦЕЛОЕ ПОЛОЖИТЕЛЬНОЕ ЧИСЛО." sqref="F8:G13 J8:P13 E8:E16 I8:I16">
      <formula1>AND($A$1=TRUE,ISNUMBER(E8),E8&gt;=0,IF(ISERROR(SEARCH(",?",E8)),0,1)=0)</formula1>
    </dataValidation>
  </dataValidation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ДВН и профосмотр_общая </vt:lpstr>
      <vt:lpstr>ДВН-124н</vt:lpstr>
      <vt:lpstr>профосмотры 124н</vt:lpstr>
      <vt:lpstr>Нацпроект_ДВН_ПО _Ф.12</vt:lpstr>
      <vt:lpstr>период. и предвар. осмотры</vt:lpstr>
      <vt:lpstr>Названия_учреждений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lastPrinted>2019-12-24T11:18:32Z</cp:lastPrinted>
  <dcterms:created xsi:type="dcterms:W3CDTF">2006-09-16T00:00:00Z</dcterms:created>
  <dcterms:modified xsi:type="dcterms:W3CDTF">2020-01-15T08:24:55Z</dcterms:modified>
</cp:coreProperties>
</file>