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workbookProtection workbookPassword="DB70" lockStructure="1"/>
  <bookViews>
    <workbookView xWindow="240" yWindow="465" windowWidth="14805" windowHeight="7650" tabRatio="748" firstSheet="5" activeTab="8"/>
  </bookViews>
  <sheets>
    <sheet name="Проверочный лист" sheetId="2" state="veryHidden" r:id="rId1"/>
    <sheet name="ДВН и профосмотр_общая " sheetId="1" r:id="rId2"/>
    <sheet name="ДВН-124н" sheetId="5" r:id="rId3"/>
    <sheet name="профосмотры 124н" sheetId="6" r:id="rId4"/>
    <sheet name="Нацпроект_ДВН_ПО _Ф.12" sheetId="7" r:id="rId5"/>
    <sheet name="период. и предвар. осмотры" sheetId="4" r:id="rId6"/>
    <sheet name="Таб 2510 ф.№30" sheetId="8" r:id="rId7"/>
    <sheet name="таб. 2516 ф. 30" sheetId="9" r:id="rId8"/>
    <sheet name="Старше труд._период и предвар." sheetId="10" r:id="rId9"/>
  </sheets>
  <definedNames>
    <definedName name="Названия_учреждений">'Проверочный лист'!$B$1:$B$54</definedName>
  </definedNames>
  <calcPr calcId="145621"/>
</workbook>
</file>

<file path=xl/calcChain.xml><?xml version="1.0" encoding="utf-8"?>
<calcChain xmlns="http://schemas.openxmlformats.org/spreadsheetml/2006/main">
  <c r="F8" i="6" l="1"/>
  <c r="C12" i="7" l="1"/>
  <c r="U19" i="4" l="1"/>
  <c r="T19" i="4"/>
  <c r="S19" i="4"/>
  <c r="R19" i="4"/>
  <c r="Q19" i="4"/>
  <c r="P19" i="4"/>
  <c r="O19" i="4"/>
  <c r="M19" i="4"/>
  <c r="L19" i="4"/>
  <c r="K19" i="4"/>
  <c r="J19" i="4"/>
  <c r="I19" i="4"/>
  <c r="G19" i="4"/>
  <c r="F19" i="4"/>
  <c r="E19" i="4"/>
  <c r="U18" i="4"/>
  <c r="T18" i="4"/>
  <c r="S18" i="4"/>
  <c r="R18" i="4"/>
  <c r="Q18" i="4"/>
  <c r="P18" i="4"/>
  <c r="O18" i="4"/>
  <c r="M18" i="4"/>
  <c r="L18" i="4"/>
  <c r="K18" i="4"/>
  <c r="J18" i="4"/>
  <c r="I18" i="4"/>
  <c r="G18" i="4"/>
  <c r="F18" i="4"/>
  <c r="E18" i="4"/>
  <c r="U17" i="4"/>
  <c r="T17" i="4"/>
  <c r="S17" i="4"/>
  <c r="R17" i="4"/>
  <c r="Q17" i="4"/>
  <c r="P17" i="4"/>
  <c r="O17" i="4"/>
  <c r="M17" i="4"/>
  <c r="L17" i="4"/>
  <c r="K17" i="4"/>
  <c r="J17" i="4"/>
  <c r="I17" i="4"/>
  <c r="G17" i="4"/>
  <c r="F17" i="4"/>
  <c r="E17" i="4"/>
  <c r="U16" i="4"/>
  <c r="T16" i="4"/>
  <c r="S16" i="4"/>
  <c r="R16" i="4"/>
  <c r="Q16" i="4"/>
  <c r="P16" i="4"/>
  <c r="O16" i="4"/>
  <c r="M16" i="4"/>
  <c r="L16" i="4"/>
  <c r="K16" i="4"/>
  <c r="J16" i="4"/>
  <c r="I16" i="4"/>
  <c r="G16" i="4"/>
  <c r="F16" i="4"/>
  <c r="E16" i="4"/>
  <c r="N15" i="4"/>
  <c r="H15" i="4"/>
  <c r="D15" i="4"/>
  <c r="N14" i="4"/>
  <c r="H14" i="4"/>
  <c r="D14" i="4"/>
  <c r="N13" i="4"/>
  <c r="H13" i="4"/>
  <c r="D13" i="4"/>
  <c r="N12" i="4"/>
  <c r="H12" i="4"/>
  <c r="D12" i="4"/>
  <c r="N11" i="4"/>
  <c r="N19" i="4" s="1"/>
  <c r="H11" i="4"/>
  <c r="D11" i="4"/>
  <c r="N10" i="4"/>
  <c r="H10" i="4"/>
  <c r="D10" i="4"/>
  <c r="N9" i="4"/>
  <c r="N17" i="4" s="1"/>
  <c r="H9" i="4"/>
  <c r="D9" i="4"/>
  <c r="N8" i="4"/>
  <c r="H8" i="4"/>
  <c r="H16" i="4" s="1"/>
  <c r="D8" i="4"/>
  <c r="N18" i="4" l="1"/>
  <c r="N16" i="4"/>
  <c r="H17" i="4"/>
  <c r="H19" i="4"/>
  <c r="H18" i="4"/>
  <c r="D19" i="4"/>
  <c r="D16" i="4"/>
  <c r="D18" i="4"/>
  <c r="D17" i="4"/>
  <c r="Z11" i="10"/>
  <c r="Y11" i="10"/>
  <c r="V20" i="6"/>
  <c r="V19" i="6"/>
  <c r="V18" i="6"/>
  <c r="V17" i="6"/>
  <c r="V16" i="6"/>
  <c r="V15" i="6"/>
  <c r="V14" i="6"/>
  <c r="V13" i="6"/>
  <c r="V12" i="6"/>
  <c r="V11" i="6"/>
  <c r="V10" i="6"/>
  <c r="AB22" i="5"/>
  <c r="AA22" i="5"/>
  <c r="AB20" i="5"/>
  <c r="AC20" i="5"/>
  <c r="AD20" i="5"/>
  <c r="AF20" i="5"/>
  <c r="AG20" i="5"/>
  <c r="AH20" i="5"/>
  <c r="AI20" i="5"/>
  <c r="AJ20" i="5"/>
  <c r="AK20" i="5"/>
  <c r="AL20" i="5"/>
  <c r="AM20" i="5"/>
  <c r="AN20" i="5"/>
  <c r="AO20" i="5"/>
  <c r="AP20" i="5"/>
  <c r="AQ20" i="5"/>
  <c r="AR20" i="5"/>
  <c r="AS20" i="5"/>
  <c r="AT20" i="5"/>
  <c r="AA18" i="5"/>
  <c r="AD11" i="5"/>
  <c r="AC11" i="5"/>
  <c r="AB11" i="5"/>
  <c r="AA11" i="5"/>
  <c r="Y11" i="5" l="1"/>
  <c r="X11" i="5" s="1"/>
  <c r="W11" i="5" s="1"/>
  <c r="G8" i="5"/>
  <c r="F8" i="5"/>
  <c r="AE21" i="5" l="1"/>
  <c r="G12" i="5"/>
  <c r="AE20" i="5" s="1"/>
  <c r="C11" i="5"/>
  <c r="AC22" i="5" l="1"/>
  <c r="Z17" i="10" l="1"/>
  <c r="Y17" i="10"/>
  <c r="Z16" i="10"/>
  <c r="Y16" i="10"/>
  <c r="X16" i="10" s="1"/>
  <c r="U16" i="10" s="1"/>
  <c r="Z12" i="10"/>
  <c r="Y12" i="10"/>
  <c r="AD10" i="5"/>
  <c r="AC10" i="5"/>
  <c r="AB10" i="5"/>
  <c r="AA10" i="5"/>
  <c r="X11" i="1"/>
  <c r="I11" i="1" s="1"/>
  <c r="C12" i="5" s="1"/>
  <c r="AC8" i="5"/>
  <c r="AB8" i="5"/>
  <c r="AA8" i="5"/>
  <c r="D8" i="5"/>
  <c r="E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E9" i="10"/>
  <c r="Z10" i="10" s="1"/>
  <c r="AE10" i="4"/>
  <c r="AA12" i="4"/>
  <c r="U19" i="10"/>
  <c r="U18" i="10"/>
  <c r="U15" i="10"/>
  <c r="U13" i="10"/>
  <c r="E9" i="7"/>
  <c r="E12" i="7" s="1"/>
  <c r="C7" i="7"/>
  <c r="C8" i="7"/>
  <c r="B9" i="7"/>
  <c r="C9" i="7"/>
  <c r="C11" i="7" s="1"/>
  <c r="C10" i="7"/>
  <c r="AD19" i="5"/>
  <c r="AC19" i="5"/>
  <c r="AB19" i="5"/>
  <c r="AA19" i="5"/>
  <c r="AD18" i="5"/>
  <c r="AC18" i="5"/>
  <c r="AB18" i="5"/>
  <c r="AB17" i="5"/>
  <c r="AD17" i="5"/>
  <c r="AC17" i="5"/>
  <c r="AA17" i="5"/>
  <c r="AD15" i="5"/>
  <c r="AC15" i="5"/>
  <c r="AB15" i="5"/>
  <c r="AA15" i="5"/>
  <c r="AA13" i="5"/>
  <c r="AB13" i="5"/>
  <c r="AC13" i="5"/>
  <c r="AD13" i="5"/>
  <c r="AA12" i="5"/>
  <c r="AB12" i="5"/>
  <c r="AC12" i="5"/>
  <c r="AD12" i="5"/>
  <c r="AA16" i="5"/>
  <c r="AB16" i="5"/>
  <c r="AC16" i="5"/>
  <c r="AD16" i="5"/>
  <c r="AA14" i="5"/>
  <c r="AB14" i="5"/>
  <c r="AC14" i="5"/>
  <c r="AD14" i="5"/>
  <c r="AA9" i="5"/>
  <c r="AB9" i="5"/>
  <c r="AC9" i="5"/>
  <c r="A2" i="10"/>
  <c r="A1" i="10"/>
  <c r="U14" i="10"/>
  <c r="D1" i="9"/>
  <c r="F1" i="8"/>
  <c r="AC17" i="4"/>
  <c r="AE17" i="4"/>
  <c r="AG17" i="4"/>
  <c r="AH17" i="4"/>
  <c r="AI17" i="4"/>
  <c r="AK17" i="4"/>
  <c r="AL17" i="4"/>
  <c r="AM17" i="4"/>
  <c r="AO17" i="4"/>
  <c r="AA17" i="4"/>
  <c r="AP17" i="4"/>
  <c r="AQ17" i="4"/>
  <c r="AQ16" i="4"/>
  <c r="AA16" i="4"/>
  <c r="AB16" i="4"/>
  <c r="AE16" i="4"/>
  <c r="AF16" i="4"/>
  <c r="AH16" i="4"/>
  <c r="AI16" i="4"/>
  <c r="AK16" i="4"/>
  <c r="AL16" i="4"/>
  <c r="AO16" i="4"/>
  <c r="AP16" i="4"/>
  <c r="AM16" i="4"/>
  <c r="AI11" i="1"/>
  <c r="AE11" i="1" s="1"/>
  <c r="B8" i="6" s="1"/>
  <c r="V9" i="6" s="1"/>
  <c r="N3" i="4"/>
  <c r="AA13" i="4"/>
  <c r="AG11" i="4"/>
  <c r="AF11" i="4"/>
  <c r="AE11" i="4"/>
  <c r="AD11" i="4"/>
  <c r="AC11" i="4"/>
  <c r="AB11" i="4"/>
  <c r="AA11" i="4"/>
  <c r="AL20" i="1"/>
  <c r="AL19" i="1"/>
  <c r="AL12" i="1"/>
  <c r="AL11" i="1"/>
  <c r="C12" i="8"/>
  <c r="D12" i="8"/>
  <c r="F12" i="8"/>
  <c r="G12" i="8"/>
  <c r="H12" i="8"/>
  <c r="J12" i="8"/>
  <c r="K12" i="8"/>
  <c r="C15" i="8"/>
  <c r="D15" i="8"/>
  <c r="F15" i="8"/>
  <c r="G15" i="8"/>
  <c r="H15" i="8"/>
  <c r="J15" i="8"/>
  <c r="K15" i="8"/>
  <c r="C16" i="8"/>
  <c r="D16" i="8"/>
  <c r="F16" i="8"/>
  <c r="G16" i="8"/>
  <c r="H16" i="8"/>
  <c r="J16" i="8"/>
  <c r="K16" i="8"/>
  <c r="A1" i="4"/>
  <c r="A2" i="4"/>
  <c r="V5" i="4"/>
  <c r="M3" i="4"/>
  <c r="Z11" i="4"/>
  <c r="AE13" i="4"/>
  <c r="AF12" i="4"/>
  <c r="AG13" i="4"/>
  <c r="D13" i="8"/>
  <c r="E8" i="10"/>
  <c r="Y10" i="10" s="1"/>
  <c r="G13" i="8"/>
  <c r="H13" i="8"/>
  <c r="J13" i="8"/>
  <c r="K13" i="8"/>
  <c r="H25" i="4"/>
  <c r="F5" i="9" s="1"/>
  <c r="AH11" i="4"/>
  <c r="J25" i="4"/>
  <c r="H5" i="9" s="1"/>
  <c r="G14" i="8"/>
  <c r="H14" i="8"/>
  <c r="J14" i="8"/>
  <c r="K14" i="8"/>
  <c r="AI11" i="4"/>
  <c r="F26" i="4"/>
  <c r="D6" i="9" s="1"/>
  <c r="H26" i="4"/>
  <c r="F6" i="9" s="1"/>
  <c r="I26" i="4"/>
  <c r="G6" i="9" s="1"/>
  <c r="J26" i="4"/>
  <c r="H6" i="9" s="1"/>
  <c r="F27" i="4"/>
  <c r="D7" i="9" s="1"/>
  <c r="H27" i="4"/>
  <c r="F7" i="9" s="1"/>
  <c r="AK11" i="4"/>
  <c r="J27" i="4"/>
  <c r="H7" i="9" s="1"/>
  <c r="A1" i="7"/>
  <c r="A1" i="6"/>
  <c r="A1" i="5"/>
  <c r="S11" i="1"/>
  <c r="G11" i="1" s="1"/>
  <c r="C8" i="5" s="1"/>
  <c r="AA21" i="5" s="1"/>
  <c r="Y21" i="5" s="1"/>
  <c r="X21" i="5" s="1"/>
  <c r="W21" i="5" s="1"/>
  <c r="F25" i="4"/>
  <c r="D5" i="9" s="1"/>
  <c r="F13" i="8"/>
  <c r="AL18" i="1"/>
  <c r="AA8" i="4"/>
  <c r="AA9" i="4"/>
  <c r="AA10" i="4"/>
  <c r="AA14" i="4"/>
  <c r="D14" i="8"/>
  <c r="J11" i="8" l="1"/>
  <c r="AB13" i="4"/>
  <c r="AE9" i="4"/>
  <c r="X12" i="10"/>
  <c r="U12" i="10" s="1"/>
  <c r="AA15" i="4"/>
  <c r="G10" i="8"/>
  <c r="G17" i="8" s="1"/>
  <c r="I15" i="8"/>
  <c r="D11" i="8"/>
  <c r="Y10" i="5"/>
  <c r="X10" i="5" s="1"/>
  <c r="AE14" i="4"/>
  <c r="I25" i="4"/>
  <c r="G5" i="9" s="1"/>
  <c r="AJ11" i="4"/>
  <c r="X11" i="4" s="1"/>
  <c r="V11" i="4" s="1"/>
  <c r="G11" i="8"/>
  <c r="AE15" i="4"/>
  <c r="Y15" i="5"/>
  <c r="X15" i="5" s="1"/>
  <c r="H11" i="8"/>
  <c r="F14" i="8"/>
  <c r="F11" i="8" s="1"/>
  <c r="AE12" i="4"/>
  <c r="AE8" i="4"/>
  <c r="I27" i="4"/>
  <c r="G7" i="9" s="1"/>
  <c r="Y19" i="5"/>
  <c r="W19" i="5" s="1"/>
  <c r="Y18" i="5"/>
  <c r="W18" i="5" s="1"/>
  <c r="AL16" i="1"/>
  <c r="J10" i="8"/>
  <c r="J17" i="8" s="1"/>
  <c r="AL15" i="1"/>
  <c r="X17" i="10"/>
  <c r="W17" i="10" s="1"/>
  <c r="K10" i="8"/>
  <c r="K17" i="8" s="1"/>
  <c r="AG15" i="4"/>
  <c r="Y12" i="5"/>
  <c r="X12" i="5" s="1"/>
  <c r="W12" i="5" s="1"/>
  <c r="Y13" i="5"/>
  <c r="X13" i="5" s="1"/>
  <c r="W13" i="5" s="1"/>
  <c r="Y14" i="5"/>
  <c r="Y16" i="5"/>
  <c r="Y17" i="5"/>
  <c r="H10" i="8"/>
  <c r="H17" i="8" s="1"/>
  <c r="V8" i="6"/>
  <c r="I16" i="8"/>
  <c r="AL17" i="1"/>
  <c r="K11" i="8"/>
  <c r="AD22" i="5"/>
  <c r="Y22" i="5" s="1"/>
  <c r="AA20" i="5"/>
  <c r="Y20" i="5" s="1"/>
  <c r="X20" i="5" s="1"/>
  <c r="W20" i="5" s="1"/>
  <c r="AL14" i="1"/>
  <c r="AD9" i="5"/>
  <c r="Y9" i="5" s="1"/>
  <c r="AD8" i="5"/>
  <c r="Y8" i="5" s="1"/>
  <c r="D9" i="7"/>
  <c r="M7" i="7" s="1"/>
  <c r="B10" i="7"/>
  <c r="D10" i="7" s="1"/>
  <c r="N7" i="7" s="1"/>
  <c r="B7" i="7"/>
  <c r="D10" i="8"/>
  <c r="D17" i="8" s="1"/>
  <c r="AC15" i="4"/>
  <c r="AC8" i="4"/>
  <c r="X10" i="10"/>
  <c r="W10" i="10" s="1"/>
  <c r="AI13" i="4"/>
  <c r="I14" i="8"/>
  <c r="I11" i="8" s="1"/>
  <c r="F10" i="8"/>
  <c r="F17" i="8" s="1"/>
  <c r="X11" i="10"/>
  <c r="AG10" i="4"/>
  <c r="AG14" i="4"/>
  <c r="AK10" i="4"/>
  <c r="AF17" i="4"/>
  <c r="AJ12" i="4"/>
  <c r="AB9" i="4"/>
  <c r="AB8" i="4"/>
  <c r="AF9" i="4"/>
  <c r="AG12" i="4"/>
  <c r="AG9" i="4"/>
  <c r="AB17" i="4"/>
  <c r="AD15" i="4"/>
  <c r="Z13" i="4"/>
  <c r="AG16" i="4"/>
  <c r="AC16" i="4"/>
  <c r="Z15" i="4"/>
  <c r="AB10" i="4"/>
  <c r="B8" i="7"/>
  <c r="D8" i="7" s="1"/>
  <c r="AL21" i="1"/>
  <c r="E12" i="8"/>
  <c r="I12" i="8"/>
  <c r="AL13" i="1"/>
  <c r="AL23" i="1"/>
  <c r="AL24" i="1"/>
  <c r="E16" i="8"/>
  <c r="AL22" i="1"/>
  <c r="E15" i="8"/>
  <c r="W16" i="10"/>
  <c r="W12" i="10"/>
  <c r="I13" i="8"/>
  <c r="D27" i="4"/>
  <c r="B7" i="9" s="1"/>
  <c r="C14" i="8"/>
  <c r="C11" i="8" s="1"/>
  <c r="AC13" i="4"/>
  <c r="AF14" i="4"/>
  <c r="AF15" i="4"/>
  <c r="AF10" i="4"/>
  <c r="AC10" i="4"/>
  <c r="AC9" i="4"/>
  <c r="AC12" i="4"/>
  <c r="AC14" i="4"/>
  <c r="AB14" i="4"/>
  <c r="AB12" i="4"/>
  <c r="AB15" i="4"/>
  <c r="D7" i="7" l="1"/>
  <c r="B12" i="7"/>
  <c r="W15" i="5"/>
  <c r="AF13" i="4"/>
  <c r="AF8" i="4"/>
  <c r="AN17" i="4"/>
  <c r="X17" i="4" s="1"/>
  <c r="W17" i="4" s="1"/>
  <c r="V17" i="4" s="1"/>
  <c r="U17" i="10"/>
  <c r="G27" i="4"/>
  <c r="E7" i="9" s="1"/>
  <c r="W10" i="5"/>
  <c r="X19" i="5"/>
  <c r="X18" i="5"/>
  <c r="W11" i="4"/>
  <c r="E14" i="8"/>
  <c r="E11" i="8" s="1"/>
  <c r="B9" i="10"/>
  <c r="X14" i="5"/>
  <c r="W14" i="5" s="1"/>
  <c r="X17" i="5"/>
  <c r="W17" i="5" s="1"/>
  <c r="W16" i="5"/>
  <c r="X16" i="5"/>
  <c r="X9" i="5"/>
  <c r="W9" i="5" s="1"/>
  <c r="X22" i="5"/>
  <c r="W22" i="5" s="1"/>
  <c r="W11" i="10"/>
  <c r="U11" i="10"/>
  <c r="F7" i="7"/>
  <c r="F9" i="7"/>
  <c r="B11" i="7"/>
  <c r="D11" i="7" s="1"/>
  <c r="O7" i="7" s="1"/>
  <c r="U10" i="10"/>
  <c r="F10" i="7"/>
  <c r="X8" i="5"/>
  <c r="W8" i="5" s="1"/>
  <c r="AI9" i="4"/>
  <c r="AK12" i="4"/>
  <c r="AK14" i="4"/>
  <c r="AJ15" i="4"/>
  <c r="AK9" i="4"/>
  <c r="AK15" i="4"/>
  <c r="E27" i="4"/>
  <c r="C7" i="9" s="1"/>
  <c r="AJ9" i="4"/>
  <c r="AK8" i="4"/>
  <c r="AG8" i="4"/>
  <c r="AJ10" i="4"/>
  <c r="AJ14" i="4"/>
  <c r="E26" i="4"/>
  <c r="C6" i="9" s="1"/>
  <c r="Z8" i="4"/>
  <c r="Z12" i="4"/>
  <c r="AD12" i="4"/>
  <c r="AD14" i="4"/>
  <c r="AD9" i="4"/>
  <c r="AD10" i="4"/>
  <c r="AH15" i="4"/>
  <c r="Z9" i="4"/>
  <c r="Z14" i="4"/>
  <c r="Z10" i="4"/>
  <c r="F8" i="7"/>
  <c r="L7" i="7"/>
  <c r="I10" i="8"/>
  <c r="I17" i="8" s="1"/>
  <c r="AI14" i="4"/>
  <c r="AI8" i="4"/>
  <c r="AI15" i="4"/>
  <c r="AI12" i="4"/>
  <c r="AI10" i="4"/>
  <c r="AK13" i="4"/>
  <c r="K7" i="7" l="1"/>
  <c r="D12" i="7"/>
  <c r="AD13" i="4"/>
  <c r="Z9" i="10"/>
  <c r="Z8" i="10"/>
  <c r="F11" i="7"/>
  <c r="F12" i="7"/>
  <c r="X15" i="4"/>
  <c r="W15" i="4" s="1"/>
  <c r="V15" i="4" s="1"/>
  <c r="I7" i="7"/>
  <c r="H7" i="7" s="1"/>
  <c r="G7" i="7" s="1"/>
  <c r="AD8" i="4"/>
  <c r="G26" i="4"/>
  <c r="E6" i="9" s="1"/>
  <c r="AJ8" i="4"/>
  <c r="AN16" i="4"/>
  <c r="X16" i="4" s="1"/>
  <c r="W16" i="4" s="1"/>
  <c r="V16" i="4" s="1"/>
  <c r="G25" i="4"/>
  <c r="E5" i="9" s="1"/>
  <c r="E25" i="4"/>
  <c r="C5" i="9" s="1"/>
  <c r="E13" i="8"/>
  <c r="E10" i="8" s="1"/>
  <c r="E17" i="8" s="1"/>
  <c r="AH12" i="4"/>
  <c r="X12" i="4" s="1"/>
  <c r="W12" i="4" s="1"/>
  <c r="AH14" i="4"/>
  <c r="X14" i="4" s="1"/>
  <c r="W14" i="4" s="1"/>
  <c r="AH9" i="4"/>
  <c r="X9" i="4" s="1"/>
  <c r="W9" i="4" s="1"/>
  <c r="AH10" i="4"/>
  <c r="X10" i="4" s="1"/>
  <c r="W10" i="4" s="1"/>
  <c r="B8" i="10"/>
  <c r="Y8" i="10" s="1"/>
  <c r="D26" i="4"/>
  <c r="B6" i="9" s="1"/>
  <c r="AJ13" i="4"/>
  <c r="AH13" i="4" l="1"/>
  <c r="X13" i="4" s="1"/>
  <c r="W13" i="4" s="1"/>
  <c r="V13" i="4" s="1"/>
  <c r="C13" i="8"/>
  <c r="C10" i="8" s="1"/>
  <c r="C17" i="8" s="1"/>
  <c r="D25" i="4"/>
  <c r="B5" i="9" s="1"/>
  <c r="X8" i="10"/>
  <c r="W8" i="10" s="1"/>
  <c r="AH8" i="4"/>
  <c r="X8" i="4" s="1"/>
  <c r="W8" i="4" s="1"/>
  <c r="V8" i="4" s="1"/>
  <c r="V9" i="4"/>
  <c r="Y9" i="10"/>
  <c r="X9" i="10" s="1"/>
  <c r="V12" i="4"/>
  <c r="V14" i="4"/>
  <c r="V10" i="4"/>
  <c r="U8" i="10" l="1"/>
  <c r="W9" i="10"/>
  <c r="U9" i="10" s="1"/>
</calcChain>
</file>

<file path=xl/sharedStrings.xml><?xml version="1.0" encoding="utf-8"?>
<sst xmlns="http://schemas.openxmlformats.org/spreadsheetml/2006/main" count="476" uniqueCount="350">
  <si>
    <t>по состоянию на</t>
  </si>
  <si>
    <t>Название учреждения</t>
  </si>
  <si>
    <t>всего</t>
  </si>
  <si>
    <t>телефон исполнителя</t>
  </si>
  <si>
    <t>Ф.И.О. главного врача</t>
  </si>
  <si>
    <t>Ф.И.О. исполнителя</t>
  </si>
  <si>
    <t>ГУЗ "Поликлиника № 4"</t>
  </si>
  <si>
    <t>ГУЗ "Клиническая поликлиника № 28"</t>
  </si>
  <si>
    <t>ГУЗ "Поликлиника № 30"</t>
  </si>
  <si>
    <t>ГУЗ "Поликлиника № 5"</t>
  </si>
  <si>
    <t>ГУЗ "Больница № 16"</t>
  </si>
  <si>
    <t>ГУЗ "Больница №22"</t>
  </si>
  <si>
    <t>ГУЗ "КБСМП № 15"</t>
  </si>
  <si>
    <t>ГУЗ "Больница № 24"</t>
  </si>
  <si>
    <t xml:space="preserve">ГУЗ "Поликлиника № 2"  </t>
  </si>
  <si>
    <t>ГУЗ "КБ СМП № 7"</t>
  </si>
  <si>
    <t>ГУЗ "Клиническая больница № 11"</t>
  </si>
  <si>
    <t>ГУЗ "Клиническая поликлиника № 1"</t>
  </si>
  <si>
    <t>ГУЗ "Клиническая поликлиника №12"</t>
  </si>
  <si>
    <t>ГУЗ "Клиническая поликлиника №3"</t>
  </si>
  <si>
    <t>ГБУЗ "ГКБ № 1 им. С.З.Фишера"</t>
  </si>
  <si>
    <t>ГБУЗ "Городская клиническая больница №3" (Волжский)</t>
  </si>
  <si>
    <t>ГБУЗ "Городская больница № 2"</t>
  </si>
  <si>
    <t>ГБУЗ "Городская поликлиника №5"</t>
  </si>
  <si>
    <t>ГБУЗ "Алексеевская ЦРБ"</t>
  </si>
  <si>
    <t>ГБУЗ "Быковская ЦРБ"</t>
  </si>
  <si>
    <t>ГБУЗ "Городищенская ЦРБ"</t>
  </si>
  <si>
    <t>ГБУЗ "Даниловская ЦРБ"</t>
  </si>
  <si>
    <t>ГБУЗ "ЦРБ Дубовского муниципального района"</t>
  </si>
  <si>
    <t>ГБУЗ Еланская ЦРБ</t>
  </si>
  <si>
    <t>ГУЗ "Жирновская ЦРБ"</t>
  </si>
  <si>
    <t>ГБУЗ "Иловлинская ЦРБ"</t>
  </si>
  <si>
    <t>ГБУЗ "Калачевская ЦРБ"</t>
  </si>
  <si>
    <t>ГБУЗ г.Камышина "Городская больница № 1"</t>
  </si>
  <si>
    <t>ГБУЗ ЦГБ г.Камышина</t>
  </si>
  <si>
    <t>ГБУЗ "Киквидзенская ЦРБ"</t>
  </si>
  <si>
    <t>ГБУЗ "ЦРБ Клетского муниципального района"</t>
  </si>
  <si>
    <t>ГБУЗ "Котельниковская ЦРБ"</t>
  </si>
  <si>
    <t>ГБУЗ ЦРБ Котовского муниципального района</t>
  </si>
  <si>
    <t>ГБУЗ "Ленинская ЦРБ"</t>
  </si>
  <si>
    <t>ГБУЗ "Михайловская ЦРБ"</t>
  </si>
  <si>
    <t>ГБУЗ "Нехаевская ЦРБ"</t>
  </si>
  <si>
    <t>ГБУЗ "Николаевская ЦРБ"</t>
  </si>
  <si>
    <t>ГБУЗ "Новоаннинская ЦРБ"</t>
  </si>
  <si>
    <t>ГБУЗ "Новониколаевская ЦРБ"</t>
  </si>
  <si>
    <t>ГБУЗ "Октябрьская ЦРБ"</t>
  </si>
  <si>
    <t>ГБУЗ "ЦРБ Ольховского муниципального района"</t>
  </si>
  <si>
    <t xml:space="preserve">ГБУЗ "Палласовская ЦРБ"  </t>
  </si>
  <si>
    <t>ГБУЗ "Кумылженская ЦРБ"</t>
  </si>
  <si>
    <t>ГБУ "ЦРБ Руднянского муниципального района"</t>
  </si>
  <si>
    <t>ГБУЗ "Светлоярская ЦРБ"</t>
  </si>
  <si>
    <t>ГБУЗ "Серафимовичская ЦРБ"</t>
  </si>
  <si>
    <t>ГБУЗ "Среднеахтубинская ЦРБ"</t>
  </si>
  <si>
    <t>ГБУЗ "Старополтавская ЦРБ"</t>
  </si>
  <si>
    <t>ГБУЗ "ЦРБ Суровикинского муниципального района"</t>
  </si>
  <si>
    <t>ГБУЗ Урюпинская ЦРБ</t>
  </si>
  <si>
    <t>ГБУЗ "Фроловская ЦРБ"</t>
  </si>
  <si>
    <t>ГБУЗ "Чернышковская ЦРБ"</t>
  </si>
  <si>
    <t xml:space="preserve">Число граждан, направлен. на 2 этап </t>
  </si>
  <si>
    <t>(нарастающим итогом)</t>
  </si>
  <si>
    <t>ВСЕГО</t>
  </si>
  <si>
    <t>из них завершили 2 этап</t>
  </si>
  <si>
    <t>Вид осмотров</t>
  </si>
  <si>
    <t>Наименование контингентов</t>
  </si>
  <si>
    <t>№ стр.</t>
  </si>
  <si>
    <t>нуждаются в амбулаторном /стационарном обследовании и лечении</t>
  </si>
  <si>
    <t>из них раб.занят.на тяж.раб.и на раб.с вредн.и опасн.услов.труд.</t>
  </si>
  <si>
    <t>графа 4 равна сумме граф 6 и 7</t>
  </si>
  <si>
    <t>декретированные контингенты</t>
  </si>
  <si>
    <t>гр. 5 меньше гр.4</t>
  </si>
  <si>
    <t>гр. 8 меньше гр.4</t>
  </si>
  <si>
    <t>гр. 8 меньше либо равна гр.5</t>
  </si>
  <si>
    <t>гр. 9 меньше гр.4</t>
  </si>
  <si>
    <t>Подлежало осмотрам</t>
  </si>
  <si>
    <t>Осмотрено</t>
  </si>
  <si>
    <t>Подлежало осмотрам(в т.ч муж.)</t>
  </si>
  <si>
    <t>Подлежало осмотрам(жен.)</t>
  </si>
  <si>
    <t>Осмотрено(в т.ч муж.)</t>
  </si>
  <si>
    <t>Осмотрено(жен.)</t>
  </si>
  <si>
    <t>ГУЗ "Поликлиника № 18"</t>
  </si>
  <si>
    <t>Контингенты</t>
  </si>
  <si>
    <t>из них сельских жителей</t>
  </si>
  <si>
    <t xml:space="preserve"> в возрасте 18-39 лет</t>
  </si>
  <si>
    <t xml:space="preserve"> в возрасте 40-64 лет</t>
  </si>
  <si>
    <t xml:space="preserve"> в возрасте 65 лет и старше</t>
  </si>
  <si>
    <t xml:space="preserve">Сведения о диспансеризации  взрослого населения </t>
  </si>
  <si>
    <t>Национальный проект "Здравоохранение"      Развитие системы первичной медико -санитарной помощи</t>
  </si>
  <si>
    <t>гр.2  больше либо равна гр.5</t>
  </si>
  <si>
    <r>
      <t xml:space="preserve">ВСЕГО                                         </t>
    </r>
    <r>
      <rPr>
        <sz val="14"/>
        <color indexed="8"/>
        <rFont val="Times New Roman"/>
        <family val="1"/>
        <charset val="204"/>
      </rPr>
      <t xml:space="preserve"> (план) </t>
    </r>
  </si>
  <si>
    <t>Число лиц, прошедших диспансеризацию в т.ч.:</t>
  </si>
  <si>
    <t>выявлено подозрений на профессион. заболевание</t>
  </si>
  <si>
    <t>не имели медицинских противопоказ. к работе</t>
  </si>
  <si>
    <t>имели временные /постоянные противопоказ.   к работе</t>
  </si>
  <si>
    <t>нуждаются в дополнит.обслед. в центре профпатологии</t>
  </si>
  <si>
    <t>Сведения о профилактических осмотрах взрослого населения</t>
  </si>
  <si>
    <t xml:space="preserve">Сведения о диспансеризации и профосмотрах  взрослого населения </t>
  </si>
  <si>
    <r>
      <t xml:space="preserve">Осмотрено </t>
    </r>
    <r>
      <rPr>
        <b/>
        <sz val="14"/>
        <color indexed="10"/>
        <rFont val="Times New Roman"/>
        <family val="1"/>
        <charset val="204"/>
      </rPr>
      <t>(завершили 1 этап)</t>
    </r>
  </si>
  <si>
    <r>
      <t>в вечернее время           (после 18:00)</t>
    </r>
    <r>
      <rPr>
        <b/>
        <sz val="14"/>
        <color indexed="10"/>
        <rFont val="Times New Roman"/>
        <family val="1"/>
        <charset val="204"/>
      </rPr>
      <t xml:space="preserve"> (из гр.2)</t>
    </r>
  </si>
  <si>
    <r>
      <t xml:space="preserve"> в субботу </t>
    </r>
    <r>
      <rPr>
        <b/>
        <sz val="14"/>
        <color indexed="10"/>
        <rFont val="Times New Roman"/>
        <family val="1"/>
        <charset val="204"/>
      </rPr>
      <t>(из гр.2)</t>
    </r>
  </si>
  <si>
    <r>
      <t xml:space="preserve">в вечернее время           (после 18:00) </t>
    </r>
    <r>
      <rPr>
        <b/>
        <sz val="14"/>
        <color indexed="10"/>
        <rFont val="Times New Roman"/>
        <family val="1"/>
        <charset val="204"/>
      </rPr>
      <t>(из гр. 5)</t>
    </r>
  </si>
  <si>
    <r>
      <t xml:space="preserve"> в субботу </t>
    </r>
    <r>
      <rPr>
        <b/>
        <sz val="14"/>
        <color indexed="10"/>
        <rFont val="Times New Roman"/>
        <family val="1"/>
        <charset val="204"/>
      </rPr>
      <t>(из гр. 5)</t>
    </r>
  </si>
  <si>
    <r>
      <rPr>
        <b/>
        <u/>
        <sz val="14"/>
        <rFont val="Times New Roman"/>
        <family val="1"/>
        <charset val="204"/>
      </rPr>
      <t>Число впервые выявлен. заболеваний</t>
    </r>
    <r>
      <rPr>
        <b/>
        <sz val="14"/>
        <rFont val="Times New Roman"/>
        <family val="1"/>
        <charset val="204"/>
      </rPr>
      <t xml:space="preserve"> в ходе диспансериз. </t>
    </r>
    <r>
      <rPr>
        <b/>
        <sz val="14"/>
        <color indexed="10"/>
        <rFont val="Times New Roman"/>
        <family val="1"/>
        <charset val="204"/>
      </rPr>
      <t>ВСЕГО</t>
    </r>
  </si>
  <si>
    <t xml:space="preserve">Число лиц, прошедших профосмотр </t>
  </si>
  <si>
    <r>
      <t>Число</t>
    </r>
    <r>
      <rPr>
        <b/>
        <sz val="14"/>
        <color indexed="10"/>
        <rFont val="Times New Roman"/>
        <family val="1"/>
        <charset val="204"/>
      </rPr>
      <t xml:space="preserve"> ГРАЖДАН</t>
    </r>
    <r>
      <rPr>
        <b/>
        <sz val="14"/>
        <rFont val="Times New Roman"/>
        <family val="1"/>
        <charset val="204"/>
      </rPr>
      <t xml:space="preserve">,      у которых в ходе  диспансериз. </t>
    </r>
    <r>
      <rPr>
        <b/>
        <u/>
        <sz val="15"/>
        <rFont val="Times New Roman"/>
        <family val="1"/>
        <charset val="204"/>
      </rPr>
      <t>впервые</t>
    </r>
    <r>
      <rPr>
        <b/>
        <u/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выявлены неинфекцион. заболевания </t>
    </r>
    <r>
      <rPr>
        <b/>
        <sz val="14"/>
        <color indexed="10"/>
        <rFont val="Times New Roman"/>
        <family val="1"/>
        <charset val="204"/>
      </rPr>
      <t>ВСЕГО</t>
    </r>
  </si>
  <si>
    <r>
      <t xml:space="preserve">в том числе в I и П стадиях              </t>
    </r>
    <r>
      <rPr>
        <b/>
        <sz val="14"/>
        <color indexed="10"/>
        <rFont val="Times New Roman"/>
        <family val="1"/>
        <charset val="204"/>
      </rPr>
      <t xml:space="preserve"> (из гр. 11)</t>
    </r>
  </si>
  <si>
    <r>
      <t xml:space="preserve">Из числа ГРАЖДАН,    у которых впервые выявлены неинфекц. заболевания 
</t>
    </r>
    <r>
      <rPr>
        <b/>
        <sz val="14"/>
        <color indexed="10"/>
        <rFont val="Times New Roman"/>
        <family val="1"/>
        <charset val="204"/>
      </rPr>
      <t>(из гр. 8)</t>
    </r>
    <r>
      <rPr>
        <b/>
        <sz val="14"/>
        <rFont val="Times New Roman"/>
        <family val="1"/>
        <charset val="204"/>
      </rPr>
      <t>,</t>
    </r>
    <r>
      <rPr>
        <b/>
        <u/>
        <sz val="14"/>
        <color indexed="10"/>
        <rFont val="Times New Roman"/>
        <family val="1"/>
        <charset val="204"/>
      </rPr>
      <t xml:space="preserve"> было начато лечение</t>
    </r>
  </si>
  <si>
    <r>
      <t>Из числа ГРАЖДАН,   у которых выявлены неинфекц. заболевания</t>
    </r>
    <r>
      <rPr>
        <b/>
        <sz val="14"/>
        <color indexed="10"/>
        <rFont val="Times New Roman"/>
        <family val="1"/>
        <charset val="204"/>
      </rPr>
      <t xml:space="preserve">           (из гр. 8)</t>
    </r>
    <r>
      <rPr>
        <b/>
        <sz val="14"/>
        <rFont val="Times New Roman"/>
        <family val="1"/>
        <charset val="204"/>
      </rPr>
      <t xml:space="preserve">, </t>
    </r>
    <r>
      <rPr>
        <b/>
        <u/>
        <sz val="14"/>
        <color indexed="10"/>
        <rFont val="Times New Roman"/>
        <family val="1"/>
        <charset val="204"/>
      </rPr>
      <t>взяты на диспансерное наблюдение</t>
    </r>
  </si>
  <si>
    <r>
      <t xml:space="preserve">Осмотрено </t>
    </r>
    <r>
      <rPr>
        <b/>
        <sz val="14"/>
        <color indexed="10"/>
        <rFont val="Times New Roman"/>
        <family val="1"/>
        <charset val="204"/>
      </rPr>
      <t>(завершили)</t>
    </r>
  </si>
  <si>
    <t>Проверка</t>
  </si>
  <si>
    <t>гр.8 меньше либо равна гр.9</t>
  </si>
  <si>
    <t>гр.3  больше либо равна гр.6</t>
  </si>
  <si>
    <t>гр.4  больше либо равна гр.7</t>
  </si>
  <si>
    <t>в т.ч муж. (из гр.3)</t>
  </si>
  <si>
    <t>3.1.</t>
  </si>
  <si>
    <t>3.2.</t>
  </si>
  <si>
    <t>3.3.</t>
  </si>
  <si>
    <t>4.1.</t>
  </si>
  <si>
    <t>4.2</t>
  </si>
  <si>
    <t>4.3</t>
  </si>
  <si>
    <t>гр. 3.1. меньше либо равна гр.3</t>
  </si>
  <si>
    <t>6.1</t>
  </si>
  <si>
    <r>
      <t xml:space="preserve">заполняется </t>
    </r>
    <r>
      <rPr>
        <b/>
        <sz val="14"/>
        <color indexed="10"/>
        <rFont val="Times New Roman"/>
        <family val="1"/>
        <charset val="204"/>
      </rPr>
      <t xml:space="preserve"> ЕЖЕНЕДЕЛЬНО </t>
    </r>
  </si>
  <si>
    <t>Сахарный диабет (всего)</t>
  </si>
  <si>
    <t>Доля впервые в жизни установленных неинфекционных  заболеваний (ХНИЗ), выявленных при проведении диспансеризации и профилактическом медицинском осмотре у взрослого населения, от общего числа ХНИЗ с впервые установленным диагнозом, %</t>
  </si>
  <si>
    <t>Показатель  нацпроекта</t>
  </si>
  <si>
    <t>ИТОГО</t>
  </si>
  <si>
    <t>Нозологии</t>
  </si>
  <si>
    <r>
      <t xml:space="preserve">число ГРАЖДАН, у которых </t>
    </r>
    <r>
      <rPr>
        <b/>
        <sz val="14"/>
        <color indexed="10"/>
        <rFont val="Times New Roman"/>
        <family val="1"/>
        <charset val="204"/>
      </rPr>
      <t>впервые</t>
    </r>
    <r>
      <rPr>
        <b/>
        <sz val="14"/>
        <color indexed="8"/>
        <rFont val="Times New Roman"/>
        <family val="1"/>
        <charset val="204"/>
      </rPr>
      <t xml:space="preserve"> выявлены (из гр. 8):</t>
    </r>
    <r>
      <rPr>
        <b/>
        <sz val="14"/>
        <color indexed="10"/>
        <rFont val="Times New Roman"/>
        <family val="1"/>
        <charset val="204"/>
      </rPr>
      <t>*</t>
    </r>
  </si>
  <si>
    <t>впервые выявлено при ДВН</t>
  </si>
  <si>
    <t>впервые выявлено при профосмотре</t>
  </si>
  <si>
    <t>Доля впервые в жизни установл. (ХНИЗ) от общего числа ХНИЗ с впервые установл.диагнозом, %</t>
  </si>
  <si>
    <t>всего выявлено при ДВН и профосмотрах</t>
  </si>
  <si>
    <r>
      <rPr>
        <b/>
        <sz val="12"/>
        <rFont val="Times New Roman"/>
        <family val="1"/>
        <charset val="204"/>
      </rPr>
      <t>заполняется</t>
    </r>
    <r>
      <rPr>
        <b/>
        <sz val="12"/>
        <color indexed="10"/>
        <rFont val="Times New Roman"/>
        <family val="1"/>
        <charset val="204"/>
      </rPr>
      <t xml:space="preserve"> ЕЖЕНЕДЕЛЬНО</t>
    </r>
  </si>
  <si>
    <r>
      <t xml:space="preserve">всего            </t>
    </r>
    <r>
      <rPr>
        <b/>
        <sz val="14"/>
        <color indexed="10"/>
        <rFont val="Times New Roman"/>
        <family val="1"/>
        <charset val="204"/>
      </rPr>
      <t xml:space="preserve"> (из гр.2)</t>
    </r>
  </si>
  <si>
    <t>Болезни системы кровообращения</t>
  </si>
  <si>
    <t>Злокачественные новообразования</t>
  </si>
  <si>
    <r>
      <rPr>
        <b/>
        <i/>
        <sz val="12"/>
        <color indexed="10"/>
        <rFont val="Times New Roman"/>
        <family val="1"/>
        <charset val="204"/>
      </rPr>
      <t>в т.ч.</t>
    </r>
    <r>
      <rPr>
        <b/>
        <i/>
        <sz val="12"/>
        <rFont val="Times New Roman"/>
        <family val="1"/>
        <charset val="204"/>
      </rPr>
      <t xml:space="preserve"> сахарный диабет 1 типа</t>
    </r>
  </si>
  <si>
    <r>
      <rPr>
        <b/>
        <i/>
        <sz val="12"/>
        <color indexed="10"/>
        <rFont val="Times New Roman"/>
        <family val="1"/>
        <charset val="204"/>
      </rPr>
      <t>в т.ч.</t>
    </r>
    <r>
      <rPr>
        <b/>
        <i/>
        <sz val="12"/>
        <rFont val="Times New Roman"/>
        <family val="1"/>
        <charset val="204"/>
      </rPr>
      <t xml:space="preserve"> сахарный диабет 2 типа</t>
    </r>
  </si>
  <si>
    <t>2020г.</t>
  </si>
  <si>
    <t xml:space="preserve">Граждане 65 лет  </t>
  </si>
  <si>
    <t xml:space="preserve">Граждане 66 лет  и старше </t>
  </si>
  <si>
    <t xml:space="preserve">с применением мобильных медиц. комплексов и мобильных бригад для диспансер.           </t>
  </si>
  <si>
    <t>10</t>
  </si>
  <si>
    <r>
      <rPr>
        <sz val="14"/>
        <color indexed="8"/>
        <rFont val="Times New Roman"/>
        <family val="1"/>
        <charset val="204"/>
      </rPr>
      <t xml:space="preserve">из них  сельские жители          </t>
    </r>
    <r>
      <rPr>
        <sz val="14"/>
        <color indexed="10"/>
        <rFont val="Times New Roman"/>
        <family val="1"/>
        <charset val="204"/>
      </rPr>
      <t>(из гр.2)</t>
    </r>
  </si>
  <si>
    <t>2.1</t>
  </si>
  <si>
    <t>6.2</t>
  </si>
  <si>
    <t>из графы 5</t>
  </si>
  <si>
    <t>7</t>
  </si>
  <si>
    <t>8</t>
  </si>
  <si>
    <t>11</t>
  </si>
  <si>
    <t>13</t>
  </si>
  <si>
    <t>14</t>
  </si>
  <si>
    <t>15</t>
  </si>
  <si>
    <t>14.2</t>
  </si>
  <si>
    <t>14.1</t>
  </si>
  <si>
    <t>I группа</t>
  </si>
  <si>
    <t xml:space="preserve">II группа </t>
  </si>
  <si>
    <t xml:space="preserve">III группа </t>
  </si>
  <si>
    <r>
      <t xml:space="preserve">III </t>
    </r>
    <r>
      <rPr>
        <b/>
        <sz val="14"/>
        <color indexed="10"/>
        <rFont val="Times New Roman"/>
        <family val="1"/>
        <charset val="204"/>
      </rPr>
      <t>a</t>
    </r>
    <r>
      <rPr>
        <b/>
        <sz val="14"/>
        <color indexed="8"/>
        <rFont val="Times New Roman"/>
        <family val="1"/>
        <charset val="204"/>
      </rPr>
      <t xml:space="preserve"> группа </t>
    </r>
  </si>
  <si>
    <r>
      <t xml:space="preserve">III </t>
    </r>
    <r>
      <rPr>
        <b/>
        <sz val="14"/>
        <color indexed="10"/>
        <rFont val="Times New Roman"/>
        <family val="1"/>
        <charset val="204"/>
      </rPr>
      <t>б</t>
    </r>
    <r>
      <rPr>
        <b/>
        <sz val="14"/>
        <color indexed="8"/>
        <rFont val="Times New Roman"/>
        <family val="1"/>
        <charset val="204"/>
      </rPr>
      <t xml:space="preserve"> группа</t>
    </r>
  </si>
  <si>
    <r>
      <t xml:space="preserve">всего                 </t>
    </r>
    <r>
      <rPr>
        <b/>
        <sz val="14"/>
        <color indexed="10"/>
        <rFont val="Times New Roman"/>
        <family val="1"/>
        <charset val="204"/>
      </rPr>
      <t xml:space="preserve"> (из гр.2)</t>
    </r>
  </si>
  <si>
    <t>из графы 14:</t>
  </si>
  <si>
    <r>
      <t xml:space="preserve">Число граждан, осмотренных на профилактическом медицинском осмотре                                                                             </t>
    </r>
    <r>
      <rPr>
        <b/>
        <sz val="14"/>
        <color indexed="10"/>
        <rFont val="Times New Roman"/>
        <family val="1"/>
        <charset val="204"/>
      </rPr>
      <t xml:space="preserve"> (ФАКТ)</t>
    </r>
  </si>
  <si>
    <t>17.1</t>
  </si>
  <si>
    <r>
      <t>инвалиды, участники ВОВ</t>
    </r>
    <r>
      <rPr>
        <sz val="14"/>
        <rFont val="Times New Roman"/>
        <family val="1"/>
        <charset val="204"/>
      </rPr>
      <t xml:space="preserve"> и лица приравн. к ним</t>
    </r>
    <r>
      <rPr>
        <sz val="14"/>
        <color indexed="10"/>
        <rFont val="Times New Roman"/>
        <family val="1"/>
        <charset val="204"/>
      </rPr>
      <t xml:space="preserve">*               </t>
    </r>
  </si>
  <si>
    <r>
      <t xml:space="preserve">  инвалиды по общему заболеванию</t>
    </r>
    <r>
      <rPr>
        <sz val="14"/>
        <color indexed="10"/>
        <rFont val="Times New Roman"/>
        <family val="1"/>
        <charset val="204"/>
      </rPr>
      <t xml:space="preserve">*          </t>
    </r>
  </si>
  <si>
    <t>II группа</t>
  </si>
  <si>
    <r>
      <t>III</t>
    </r>
    <r>
      <rPr>
        <sz val="12"/>
        <color indexed="10"/>
        <rFont val="Times New Roman"/>
        <family val="1"/>
        <charset val="204"/>
      </rPr>
      <t xml:space="preserve"> a</t>
    </r>
    <r>
      <rPr>
        <sz val="12"/>
        <rFont val="Times New Roman"/>
        <family val="1"/>
        <charset val="204"/>
      </rPr>
      <t xml:space="preserve"> группа </t>
    </r>
  </si>
  <si>
    <r>
      <t xml:space="preserve">III </t>
    </r>
    <r>
      <rPr>
        <sz val="12"/>
        <color indexed="10"/>
        <rFont val="Times New Roman"/>
        <family val="1"/>
        <charset val="204"/>
      </rPr>
      <t>б</t>
    </r>
    <r>
      <rPr>
        <sz val="12"/>
        <rFont val="Times New Roman"/>
        <family val="1"/>
        <charset val="204"/>
      </rPr>
      <t xml:space="preserve"> группа</t>
    </r>
  </si>
  <si>
    <t>4.4</t>
  </si>
  <si>
    <t>4.5</t>
  </si>
  <si>
    <t>4.6</t>
  </si>
  <si>
    <t>4.6.1</t>
  </si>
  <si>
    <t>4.6.2</t>
  </si>
  <si>
    <t>жен.                 (из гр.4)</t>
  </si>
  <si>
    <t>жен.           (из гр.3)</t>
  </si>
  <si>
    <t>Периодические осмотры</t>
  </si>
  <si>
    <t>Предварительные осмотры</t>
  </si>
  <si>
    <t>Всего: периодические и предварительные</t>
  </si>
  <si>
    <t>в т.ч муж.              (из гр.4)</t>
  </si>
  <si>
    <t>гр.4 = сумме граф 4.2+4.3</t>
  </si>
  <si>
    <t>гр.4 = сумме граф  4.4+4.5+4.6</t>
  </si>
  <si>
    <r>
      <t>из числа осмотренных (</t>
    </r>
    <r>
      <rPr>
        <b/>
        <sz val="12"/>
        <color indexed="10"/>
        <rFont val="Times New Roman"/>
        <family val="1"/>
        <charset val="204"/>
      </rPr>
      <t>из гр.4)</t>
    </r>
    <r>
      <rPr>
        <b/>
        <sz val="12"/>
        <color indexed="8"/>
        <rFont val="Times New Roman"/>
        <family val="1"/>
        <charset val="204"/>
      </rPr>
      <t xml:space="preserve"> определены группы здоровья</t>
    </r>
  </si>
  <si>
    <r>
      <t xml:space="preserve">из числа осмотренных всего  </t>
    </r>
    <r>
      <rPr>
        <b/>
        <sz val="12"/>
        <color indexed="10"/>
        <rFont val="Times New Roman"/>
        <family val="1"/>
        <charset val="204"/>
      </rPr>
      <t>(из гр.4)</t>
    </r>
    <r>
      <rPr>
        <b/>
        <sz val="12"/>
        <rFont val="Times New Roman"/>
        <family val="1"/>
        <charset val="204"/>
      </rPr>
      <t>:</t>
    </r>
  </si>
  <si>
    <t>в т.ч. сельские жители        (из гр.4)</t>
  </si>
  <si>
    <t>в т.ч. сельские жители            (из гр.3)</t>
  </si>
  <si>
    <t>Сведения о числе граждан, прошедших периодические и предварительные осмотры в 2020 году</t>
  </si>
  <si>
    <t/>
  </si>
  <si>
    <t>подлежало осмотрам</t>
  </si>
  <si>
    <t>осмотрено</t>
  </si>
  <si>
    <t>выявлено подозрений на прфессиональное заболевание</t>
  </si>
  <si>
    <t>не имели медицинских противопоказаний к работе</t>
  </si>
  <si>
    <t>имели временные /постоянные противопоказания к работе</t>
  </si>
  <si>
    <t>нуждаются в дополнит.обследовании в центре профпатологии</t>
  </si>
  <si>
    <t>3</t>
  </si>
  <si>
    <t>4</t>
  </si>
  <si>
    <t>5</t>
  </si>
  <si>
    <t>6</t>
  </si>
  <si>
    <t>9</t>
  </si>
  <si>
    <t xml:space="preserve">всего                                                              </t>
  </si>
  <si>
    <t>таб.2516</t>
  </si>
  <si>
    <t>таб.2510</t>
  </si>
  <si>
    <t>из них: III А</t>
  </si>
  <si>
    <t>из них: III Б</t>
  </si>
  <si>
    <t>12</t>
  </si>
  <si>
    <t>001</t>
  </si>
  <si>
    <t>002</t>
  </si>
  <si>
    <t>из них дети до 1 года</t>
  </si>
  <si>
    <t>003</t>
  </si>
  <si>
    <t>004</t>
  </si>
  <si>
    <t>из общего числа детей 15-17 лет(стр03)-юношей</t>
  </si>
  <si>
    <t>005</t>
  </si>
  <si>
    <t>006</t>
  </si>
  <si>
    <t>061</t>
  </si>
  <si>
    <t>из них старше трудоспособного возраста</t>
  </si>
  <si>
    <t>062</t>
  </si>
  <si>
    <t>диспансеризация определ.групп взрослого населения</t>
  </si>
  <si>
    <t>621</t>
  </si>
  <si>
    <t>007</t>
  </si>
  <si>
    <t>всего  (сумма стр 1,3,6)</t>
  </si>
  <si>
    <t>профосмотры взрослых</t>
  </si>
  <si>
    <t>предварительные и периодич.</t>
  </si>
  <si>
    <t>18</t>
  </si>
  <si>
    <t>18.1</t>
  </si>
  <si>
    <t>19</t>
  </si>
  <si>
    <r>
      <t xml:space="preserve">III </t>
    </r>
    <r>
      <rPr>
        <b/>
        <sz val="14"/>
        <color indexed="10"/>
        <rFont val="Times New Roman"/>
        <family val="1"/>
        <charset val="204"/>
      </rPr>
      <t xml:space="preserve">а </t>
    </r>
    <r>
      <rPr>
        <b/>
        <sz val="14"/>
        <color indexed="8"/>
        <rFont val="Times New Roman"/>
        <family val="1"/>
        <charset val="204"/>
      </rPr>
      <t xml:space="preserve">группа </t>
    </r>
  </si>
  <si>
    <r>
      <t>III</t>
    </r>
    <r>
      <rPr>
        <b/>
        <sz val="14"/>
        <color indexed="10"/>
        <rFont val="Times New Roman"/>
        <family val="1"/>
        <charset val="204"/>
      </rPr>
      <t xml:space="preserve"> б</t>
    </r>
    <r>
      <rPr>
        <b/>
        <sz val="14"/>
        <color indexed="8"/>
        <rFont val="Times New Roman"/>
        <family val="1"/>
        <charset val="204"/>
      </rPr>
      <t xml:space="preserve"> группа </t>
    </r>
  </si>
  <si>
    <t>х</t>
  </si>
  <si>
    <r>
      <rPr>
        <sz val="14"/>
        <color indexed="8"/>
        <rFont val="Times New Roman"/>
        <family val="1"/>
        <charset val="204"/>
      </rPr>
      <t xml:space="preserve">из них  сельские жители          </t>
    </r>
    <r>
      <rPr>
        <sz val="14"/>
        <color indexed="10"/>
        <rFont val="Times New Roman"/>
        <family val="1"/>
        <charset val="204"/>
      </rPr>
      <t>(из гр.1)</t>
    </r>
  </si>
  <si>
    <t>1.1</t>
  </si>
  <si>
    <r>
      <rPr>
        <sz val="14"/>
        <color indexed="8"/>
        <rFont val="Times New Roman"/>
        <family val="1"/>
        <charset val="204"/>
      </rPr>
      <t xml:space="preserve">из них сельские жители                </t>
    </r>
    <r>
      <rPr>
        <sz val="14"/>
        <color indexed="10"/>
        <rFont val="Times New Roman"/>
        <family val="1"/>
        <charset val="204"/>
      </rPr>
      <t>(из гр.5)</t>
    </r>
  </si>
  <si>
    <t>5.1</t>
  </si>
  <si>
    <t>20.1</t>
  </si>
  <si>
    <r>
      <rPr>
        <sz val="14"/>
        <color indexed="8"/>
        <rFont val="Times New Roman"/>
        <family val="1"/>
        <charset val="204"/>
      </rPr>
      <t xml:space="preserve">из них сельские жители     </t>
    </r>
    <r>
      <rPr>
        <sz val="14"/>
        <color indexed="10"/>
        <rFont val="Times New Roman"/>
        <family val="1"/>
        <charset val="204"/>
      </rPr>
      <t>(из гр.6)</t>
    </r>
  </si>
  <si>
    <t>17.2</t>
  </si>
  <si>
    <t>19.1</t>
  </si>
  <si>
    <t>гр. 1.1. меньше либо равна гр.1</t>
  </si>
  <si>
    <t>гр. 2.1. меньше либо равна гр.2</t>
  </si>
  <si>
    <t>гр. 6.1. меньше либо равна гр.6</t>
  </si>
  <si>
    <t>гр. 6.2. меньше либо равна гр.6</t>
  </si>
  <si>
    <t>гр. 14.1. меньше либо равна гр.14</t>
  </si>
  <si>
    <t>гр. 14.2. меньше либо равна гр.14</t>
  </si>
  <si>
    <t>гр. 17.1. меньше либо равна гр.17</t>
  </si>
  <si>
    <t>гр. 17.2. меньше либо равна гр.17</t>
  </si>
  <si>
    <t>гр. 18.1. меньше либо равна гр.18</t>
  </si>
  <si>
    <t>гр. 19.1. меньше либо равна гр.19</t>
  </si>
  <si>
    <t>гр. 20.1. меньше либо равна гр.20</t>
  </si>
  <si>
    <t>гр. 6. меньше либо равна гр.5</t>
  </si>
  <si>
    <t>гр. 7. меньше либо равна гр.6</t>
  </si>
  <si>
    <t>гр. 8. меньше либо равна гр.6</t>
  </si>
  <si>
    <r>
      <t xml:space="preserve">Число граждан, подлежащих  диспансеризации  </t>
    </r>
    <r>
      <rPr>
        <b/>
        <sz val="14"/>
        <color indexed="10"/>
        <rFont val="Times New Roman"/>
        <family val="1"/>
        <charset val="204"/>
      </rPr>
      <t>(ПЛАН)</t>
    </r>
  </si>
  <si>
    <r>
      <t xml:space="preserve"> лица старше 65 лет, доставл. транспортом учреждения соцзащиты </t>
    </r>
    <r>
      <rPr>
        <sz val="14"/>
        <color rgb="FFFF0000"/>
        <rFont val="Times New Roman"/>
        <family val="1"/>
        <charset val="204"/>
      </rPr>
      <t>(из гр.6)</t>
    </r>
    <r>
      <rPr>
        <sz val="14"/>
        <color indexed="8"/>
        <rFont val="Times New Roman"/>
        <family val="1"/>
        <charset val="204"/>
      </rPr>
      <t xml:space="preserve"> </t>
    </r>
  </si>
  <si>
    <r>
      <rPr>
        <b/>
        <sz val="14"/>
        <color indexed="8"/>
        <rFont val="Times New Roman"/>
        <family val="1"/>
        <charset val="204"/>
      </rPr>
      <t xml:space="preserve">в т.ч. лица старше трудоспособ. возраста  </t>
    </r>
    <r>
      <rPr>
        <sz val="14"/>
        <color indexed="8"/>
        <rFont val="Times New Roman"/>
        <family val="1"/>
        <charset val="204"/>
      </rPr>
      <t xml:space="preserve">            (55 лет и старше у  женщин и старше 60 лет у мужчин)        </t>
    </r>
    <r>
      <rPr>
        <sz val="14"/>
        <color indexed="10"/>
        <rFont val="Times New Roman"/>
        <family val="1"/>
        <charset val="204"/>
      </rPr>
      <t xml:space="preserve"> (из гр.5)</t>
    </r>
  </si>
  <si>
    <r>
      <rPr>
        <b/>
        <sz val="14"/>
        <color indexed="8"/>
        <rFont val="Times New Roman"/>
        <family val="1"/>
        <charset val="204"/>
      </rPr>
      <t xml:space="preserve">в т.ч. лица старше трудоспособ. возраста  </t>
    </r>
    <r>
      <rPr>
        <sz val="14"/>
        <color indexed="8"/>
        <rFont val="Times New Roman"/>
        <family val="1"/>
        <charset val="204"/>
      </rPr>
      <t xml:space="preserve">            (55 лет и старше у  женщин и старше 60 лет у мужчин)</t>
    </r>
    <r>
      <rPr>
        <sz val="14"/>
        <color indexed="10"/>
        <rFont val="Times New Roman"/>
        <family val="1"/>
        <charset val="204"/>
      </rPr>
      <t xml:space="preserve">     (из гр.1)</t>
    </r>
  </si>
  <si>
    <r>
      <t xml:space="preserve">Число граждан, прошедших 1 этап диспансеризации </t>
    </r>
    <r>
      <rPr>
        <b/>
        <sz val="14"/>
        <color indexed="10"/>
        <rFont val="Times New Roman"/>
        <family val="1"/>
        <charset val="204"/>
      </rPr>
      <t xml:space="preserve"> (ФАКТ)</t>
    </r>
  </si>
  <si>
    <r>
      <t xml:space="preserve">Распределение граждан, прошедших 1 этап диспансеризации, по группам состояния здоровья </t>
    </r>
    <r>
      <rPr>
        <b/>
        <sz val="14"/>
        <color rgb="FFFF0000"/>
        <rFont val="Times New Roman"/>
        <family val="1"/>
        <charset val="204"/>
      </rPr>
      <t>лиц старше трудоспособного возраста</t>
    </r>
  </si>
  <si>
    <t>Распределение граждан, прошедших 1 этап диспансеризации, по группам состояния здоровья             ВСЕГО</t>
  </si>
  <si>
    <t>из графы 17:</t>
  </si>
  <si>
    <r>
      <t>Чилсо граждан подлежащих профосмотрам</t>
    </r>
    <r>
      <rPr>
        <b/>
        <sz val="14"/>
        <color rgb="FFFF0000"/>
        <rFont val="Times New Roman"/>
        <family val="1"/>
        <charset val="204"/>
      </rPr>
      <t xml:space="preserve"> (ПЛАН)</t>
    </r>
  </si>
  <si>
    <r>
      <rPr>
        <b/>
        <sz val="14"/>
        <color indexed="8"/>
        <rFont val="Times New Roman"/>
        <family val="1"/>
        <charset val="204"/>
      </rPr>
      <t xml:space="preserve">из них сельские жители              </t>
    </r>
    <r>
      <rPr>
        <sz val="14"/>
        <color indexed="8"/>
        <rFont val="Times New Roman"/>
        <family val="1"/>
        <charset val="204"/>
      </rPr>
      <t xml:space="preserve"> </t>
    </r>
    <r>
      <rPr>
        <b/>
        <sz val="14"/>
        <color indexed="10"/>
        <rFont val="Times New Roman"/>
        <family val="1"/>
        <charset val="204"/>
      </rPr>
      <t>(из гр.19)</t>
    </r>
  </si>
  <si>
    <t>23</t>
  </si>
  <si>
    <t>23.1</t>
  </si>
  <si>
    <t>23.2</t>
  </si>
  <si>
    <t>из них:             сельских жителей</t>
  </si>
  <si>
    <t>из них:              сельских жителей</t>
  </si>
  <si>
    <r>
      <t>из числа осмотренных    (гр 5):         определены группы здоровья -</t>
    </r>
    <r>
      <rPr>
        <b/>
        <sz val="12"/>
        <color theme="1"/>
        <rFont val="Times New Roman"/>
        <family val="1"/>
        <charset val="204"/>
      </rPr>
      <t xml:space="preserve"> I</t>
    </r>
  </si>
  <si>
    <r>
      <t xml:space="preserve">из числа осмотренных    (гр 5):   определены группы здоровья - </t>
    </r>
    <r>
      <rPr>
        <b/>
        <sz val="12"/>
        <color theme="1"/>
        <rFont val="Times New Roman"/>
        <family val="1"/>
        <charset val="204"/>
      </rPr>
      <t>II</t>
    </r>
  </si>
  <si>
    <r>
      <t xml:space="preserve">из числа осмотренных (гр 5):   определены группы здоровья </t>
    </r>
    <r>
      <rPr>
        <b/>
        <sz val="12"/>
        <color theme="1"/>
        <rFont val="Times New Roman"/>
        <family val="1"/>
        <charset val="204"/>
      </rPr>
      <t>- III</t>
    </r>
  </si>
  <si>
    <r>
      <t>из числа осмотренных (гр 5): определены группы здоровья -</t>
    </r>
    <r>
      <rPr>
        <b/>
        <sz val="12"/>
        <color theme="1"/>
        <rFont val="Times New Roman"/>
        <family val="1"/>
        <charset val="204"/>
      </rPr>
      <t xml:space="preserve"> IV</t>
    </r>
  </si>
  <si>
    <r>
      <t>из числа осмотренных    (гр 5):  определены группы здоровья -</t>
    </r>
    <r>
      <rPr>
        <b/>
        <sz val="12"/>
        <color theme="1"/>
        <rFont val="Times New Roman"/>
        <family val="1"/>
        <charset val="204"/>
      </rPr>
      <t>V</t>
    </r>
  </si>
  <si>
    <t xml:space="preserve">Дети в возрасте 0-14 лет вкл.                                     </t>
  </si>
  <si>
    <t>Дети 15-17 лет вкл.</t>
  </si>
  <si>
    <t>Школьники(из суммы стр1+3)</t>
  </si>
  <si>
    <t>Континг. взр.населения (18л.и старше)-всего</t>
  </si>
  <si>
    <t>стр.1 равна или больше стр.3 +стр. 4 по всем графам</t>
  </si>
  <si>
    <t>стр.5 равна или больше стр.7 +стр. 8 по всем графам</t>
  </si>
  <si>
    <r>
      <t xml:space="preserve">распределение по группам здоровья  </t>
    </r>
    <r>
      <rPr>
        <b/>
        <sz val="14"/>
        <color indexed="10"/>
        <rFont val="Times New Roman"/>
        <family val="1"/>
        <charset val="204"/>
      </rPr>
      <t xml:space="preserve"> (из гр.20)  </t>
    </r>
    <r>
      <rPr>
        <b/>
        <sz val="14"/>
        <rFont val="Times New Roman"/>
        <family val="1"/>
        <charset val="204"/>
      </rPr>
      <t xml:space="preserve">      </t>
    </r>
  </si>
  <si>
    <r>
      <rPr>
        <b/>
        <sz val="14"/>
        <color indexed="8"/>
        <rFont val="Times New Roman"/>
        <family val="1"/>
        <charset val="204"/>
      </rPr>
      <t xml:space="preserve">из них сельские жители              </t>
    </r>
    <r>
      <rPr>
        <sz val="14"/>
        <color indexed="8"/>
        <rFont val="Times New Roman"/>
        <family val="1"/>
        <charset val="204"/>
      </rPr>
      <t xml:space="preserve"> </t>
    </r>
    <r>
      <rPr>
        <b/>
        <sz val="14"/>
        <color indexed="10"/>
        <rFont val="Times New Roman"/>
        <family val="1"/>
        <charset val="204"/>
      </rPr>
      <t>(из гр.20)</t>
    </r>
  </si>
  <si>
    <r>
      <rPr>
        <sz val="14"/>
        <color indexed="10"/>
        <rFont val="Times New Roman"/>
        <family val="1"/>
        <charset val="204"/>
      </rPr>
      <t>в т.ч.</t>
    </r>
    <r>
      <rPr>
        <sz val="14"/>
        <rFont val="Times New Roman"/>
        <family val="1"/>
        <charset val="204"/>
      </rPr>
      <t xml:space="preserve"> сахарный диабет 1 типа</t>
    </r>
  </si>
  <si>
    <r>
      <t>число ГРАЖДАН, у которых</t>
    </r>
    <r>
      <rPr>
        <b/>
        <sz val="14"/>
        <color rgb="FFFF0000"/>
        <rFont val="Times New Roman"/>
        <family val="1"/>
        <charset val="204"/>
      </rPr>
      <t xml:space="preserve"> ВПЕРВЫЕ </t>
    </r>
    <r>
      <rPr>
        <b/>
        <sz val="14"/>
        <color indexed="8"/>
        <rFont val="Times New Roman"/>
        <family val="1"/>
        <charset val="204"/>
      </rPr>
      <t>выявлены (из гр. 8):</t>
    </r>
    <r>
      <rPr>
        <b/>
        <sz val="14"/>
        <color indexed="10"/>
        <rFont val="Times New Roman"/>
        <family val="1"/>
        <charset val="204"/>
      </rPr>
      <t>*</t>
    </r>
  </si>
  <si>
    <t>БОЛЕЗНИ ОРГАНОВ ПИЩЕВАРЕНИЯ</t>
  </si>
  <si>
    <t>ХРОНИЧЕСКИЕ БОЛЕЗНИ ОРГАНОВ ДЫХАНИЯ</t>
  </si>
  <si>
    <t>БОЛЕЗНИ СИСТЕМЫ КРОВОБРАЩЕНИЯ</t>
  </si>
  <si>
    <t>ЗЛОКАЧЕСТВЕН. НОВООБРАЗОВАНИЯ</t>
  </si>
  <si>
    <t>САХАРНЫЙ ДИАБЕТ</t>
  </si>
  <si>
    <t>ГЛАУКОМА</t>
  </si>
  <si>
    <r>
      <t>Число</t>
    </r>
    <r>
      <rPr>
        <b/>
        <sz val="14"/>
        <color indexed="10"/>
        <rFont val="Times New Roman"/>
        <family val="1"/>
        <charset val="204"/>
      </rPr>
      <t xml:space="preserve"> ГРАЖДАН</t>
    </r>
    <r>
      <rPr>
        <b/>
        <sz val="14"/>
        <rFont val="Times New Roman"/>
        <family val="1"/>
        <charset val="204"/>
      </rPr>
      <t xml:space="preserve">,      у которых в ходе  диспансериз. </t>
    </r>
    <r>
      <rPr>
        <b/>
        <u/>
        <sz val="15"/>
        <rFont val="Times New Roman"/>
        <family val="1"/>
        <charset val="204"/>
      </rPr>
      <t>ВПЕРВЫЕ</t>
    </r>
    <r>
      <rPr>
        <b/>
        <u/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выявлены неинфекцион. заболевания </t>
    </r>
    <r>
      <rPr>
        <b/>
        <sz val="14"/>
        <color indexed="10"/>
        <rFont val="Times New Roman"/>
        <family val="1"/>
        <charset val="204"/>
      </rPr>
      <t>ВСЕГО</t>
    </r>
  </si>
  <si>
    <t>1.</t>
  </si>
  <si>
    <t xml:space="preserve"> Лиц старше трудоспособного возраста (из стр.1 )</t>
  </si>
  <si>
    <t xml:space="preserve"> 1.4 </t>
  </si>
  <si>
    <t xml:space="preserve"> 1.1</t>
  </si>
  <si>
    <t xml:space="preserve"> 1.2</t>
  </si>
  <si>
    <t xml:space="preserve"> 1.3 </t>
  </si>
  <si>
    <r>
      <t xml:space="preserve">из них сельских жителей 
</t>
    </r>
    <r>
      <rPr>
        <b/>
        <sz val="14"/>
        <color indexed="10"/>
        <rFont val="Times New Roman"/>
        <family val="1"/>
        <charset val="204"/>
      </rPr>
      <t>(из гр. 18)</t>
    </r>
  </si>
  <si>
    <r>
      <t xml:space="preserve">число зарегистр. заболеваний  с впервые в жизни установл. диагнозом            </t>
    </r>
    <r>
      <rPr>
        <b/>
        <sz val="12"/>
        <color rgb="FFFF0000"/>
        <rFont val="Times New Roman"/>
        <family val="1"/>
        <charset val="204"/>
      </rPr>
      <t>гр. 9</t>
    </r>
    <r>
      <rPr>
        <b/>
        <sz val="12"/>
        <color theme="1"/>
        <rFont val="Times New Roman"/>
        <family val="1"/>
        <charset val="204"/>
      </rPr>
      <t xml:space="preserve"> </t>
    </r>
    <r>
      <rPr>
        <b/>
        <sz val="12"/>
        <color indexed="10"/>
        <rFont val="Times New Roman"/>
        <family val="1"/>
        <charset val="204"/>
      </rPr>
      <t>форма№12 (т.3000)</t>
    </r>
  </si>
  <si>
    <r>
      <t>Сведения о числе граждан, прошедших периодические и предварительные осмотры в 2020 году</t>
    </r>
    <r>
      <rPr>
        <b/>
        <i/>
        <sz val="15"/>
        <rFont val="Times New Roman"/>
        <family val="1"/>
        <charset val="204"/>
      </rPr>
      <t xml:space="preserve">  </t>
    </r>
    <r>
      <rPr>
        <b/>
        <i/>
        <sz val="15"/>
        <color rgb="FFFF0000"/>
        <rFont val="Times New Roman"/>
        <family val="1"/>
        <charset val="204"/>
      </rPr>
      <t>(старше трудоспособн.)</t>
    </r>
  </si>
  <si>
    <t>графа 5 по всем строкам должна быть больше либо равна графе 4 всем строкам</t>
  </si>
  <si>
    <t>№</t>
  </si>
  <si>
    <t>гр.18 меньше либо равна гр.8 по всем строкам</t>
  </si>
  <si>
    <t>гр.19 меньше либо равна гр.8 по всем строкам</t>
  </si>
  <si>
    <t>гр.11 больше либо равна гр.12 по всем строкам</t>
  </si>
  <si>
    <t>гр. 13 больше либо равна гр.14 по всем строкам</t>
  </si>
  <si>
    <t>гр.2  больше либо равна гр 3+ гр.4</t>
  </si>
  <si>
    <t>гр.5  больше либо равна гр 6+ гр7</t>
  </si>
  <si>
    <r>
      <t xml:space="preserve">лица старше трудоспособного возраста </t>
    </r>
    <r>
      <rPr>
        <b/>
        <sz val="15"/>
        <rFont val="Times New Roman"/>
        <family val="1"/>
        <charset val="204"/>
      </rPr>
      <t>(</t>
    </r>
    <r>
      <rPr>
        <sz val="15"/>
        <rFont val="Times New Roman"/>
        <family val="1"/>
        <charset val="204"/>
      </rPr>
      <t>из табл.период и предварит.осмотры</t>
    </r>
    <r>
      <rPr>
        <b/>
        <sz val="15"/>
        <rFont val="Times New Roman"/>
        <family val="1"/>
        <charset val="204"/>
      </rPr>
      <t>)</t>
    </r>
  </si>
  <si>
    <t>Всего в том числе:</t>
  </si>
  <si>
    <t>гр.20 меньше либо равна гр.18 по всем строкам</t>
  </si>
  <si>
    <t>ЧУЗ КБ РЖД-Медицина</t>
  </si>
  <si>
    <t>СТРОКА 1.4 Д.Б. БОЛЬШЕ ИЛИ РАВНА СТРОКЕ 1.3 ПО ВСЕМ ГРАФАМ со 2 по21</t>
  </si>
  <si>
    <t>СТРОКА 9 может быть меньше или равна строке 8 по всем графам</t>
  </si>
  <si>
    <t>сумма строк  1.1, 1.2,  1.3=строке 1 по графам 2,6</t>
  </si>
  <si>
    <t>число заболеваний м.б. больше числа граждан: гр.9 м.б. больше или равна гр. 8 по всем строкам</t>
  </si>
  <si>
    <t>данные гр.20 не м.б. больше данных гр.5 по соотв. строкам</t>
  </si>
  <si>
    <r>
      <t xml:space="preserve">Из числа ГРАЖДАН, у которых впервые выявлены неинфекц. заболевания 
</t>
    </r>
    <r>
      <rPr>
        <b/>
        <sz val="14"/>
        <color indexed="10"/>
        <rFont val="Times New Roman"/>
        <family val="1"/>
        <charset val="204"/>
      </rPr>
      <t>(из гр.9)</t>
    </r>
    <r>
      <rPr>
        <b/>
        <sz val="14"/>
        <rFont val="Times New Roman"/>
        <family val="1"/>
        <charset val="204"/>
      </rPr>
      <t>,</t>
    </r>
    <r>
      <rPr>
        <b/>
        <sz val="14"/>
        <color indexed="10"/>
        <rFont val="Times New Roman"/>
        <family val="1"/>
        <charset val="204"/>
      </rPr>
      <t xml:space="preserve"> было начато лечение</t>
    </r>
  </si>
  <si>
    <r>
      <t>Из числа ГРАЖДАН, у которых выявлены неинфекц. заболевания</t>
    </r>
    <r>
      <rPr>
        <b/>
        <sz val="14"/>
        <color indexed="10"/>
        <rFont val="Times New Roman"/>
        <family val="1"/>
        <charset val="204"/>
      </rPr>
      <t xml:space="preserve">         </t>
    </r>
    <r>
      <rPr>
        <b/>
        <sz val="16"/>
        <color indexed="10"/>
        <rFont val="Times New Roman"/>
        <family val="1"/>
        <charset val="204"/>
      </rPr>
      <t xml:space="preserve">  (из гр. 9)</t>
    </r>
    <r>
      <rPr>
        <b/>
        <sz val="14"/>
        <rFont val="Times New Roman"/>
        <family val="1"/>
        <charset val="204"/>
      </rPr>
      <t xml:space="preserve">, </t>
    </r>
    <r>
      <rPr>
        <b/>
        <sz val="14"/>
        <color indexed="10"/>
        <rFont val="Times New Roman"/>
        <family val="1"/>
        <charset val="204"/>
      </rPr>
      <t>взяты на диспансерное наблюдение</t>
    </r>
  </si>
  <si>
    <r>
      <t xml:space="preserve">из них сельских жителей 
</t>
    </r>
    <r>
      <rPr>
        <b/>
        <sz val="14"/>
        <color indexed="10"/>
        <rFont val="Times New Roman"/>
        <family val="1"/>
        <charset val="204"/>
      </rPr>
      <t>(из гр. 19)</t>
    </r>
  </si>
  <si>
    <r>
      <t>Из числа ГРАЖДАН,   у которых выявлены неинфекц. заболевания</t>
    </r>
    <r>
      <rPr>
        <b/>
        <sz val="14"/>
        <color indexed="10"/>
        <rFont val="Times New Roman"/>
        <family val="1"/>
        <charset val="204"/>
      </rPr>
      <t xml:space="preserve">           (из гр.9)</t>
    </r>
    <r>
      <rPr>
        <b/>
        <sz val="14"/>
        <rFont val="Times New Roman"/>
        <family val="1"/>
        <charset val="204"/>
      </rPr>
      <t xml:space="preserve">, </t>
    </r>
    <r>
      <rPr>
        <b/>
        <u/>
        <sz val="14"/>
        <color indexed="10"/>
        <rFont val="Times New Roman"/>
        <family val="1"/>
        <charset val="204"/>
      </rPr>
      <t>взяты на диспансерное наблюдение</t>
    </r>
  </si>
  <si>
    <r>
      <t xml:space="preserve">Из числа ГРАЖДАН,    у которых впервые выявлены неинфекц. заболевания 
</t>
    </r>
    <r>
      <rPr>
        <b/>
        <sz val="14"/>
        <color indexed="10"/>
        <rFont val="Times New Roman"/>
        <family val="1"/>
        <charset val="204"/>
      </rPr>
      <t>(из гр. 9)</t>
    </r>
    <r>
      <rPr>
        <b/>
        <sz val="14"/>
        <rFont val="Times New Roman"/>
        <family val="1"/>
        <charset val="204"/>
      </rPr>
      <t>,</t>
    </r>
    <r>
      <rPr>
        <b/>
        <u/>
        <sz val="14"/>
        <color indexed="10"/>
        <rFont val="Times New Roman"/>
        <family val="1"/>
        <charset val="204"/>
      </rPr>
      <t xml:space="preserve"> было начато лечение</t>
    </r>
  </si>
  <si>
    <t>гр5 меньше или равнв гр2 по всем строкам</t>
  </si>
  <si>
    <t>гр21 меньше или равнв гр6</t>
  </si>
  <si>
    <t>гр.2  больше либо равна гр.6</t>
  </si>
  <si>
    <t xml:space="preserve">гр.6  больше либо равна гр. 7+ гр.8
</t>
  </si>
  <si>
    <t xml:space="preserve">
гр. 10 больше либо равна сумме граф 11+12+14+16+17+18 по всем строкам</t>
  </si>
  <si>
    <t xml:space="preserve">гр.19 меньше либо равна гр.9 по всем строкам
</t>
  </si>
  <si>
    <t xml:space="preserve">гр.20 меньше либо равна гр.9 по всем строкам
</t>
  </si>
  <si>
    <t xml:space="preserve">гр.9 меньше либо равна гр.10
</t>
  </si>
  <si>
    <t>гр.21 меньше либо равна гр.19 по всем строкам</t>
  </si>
  <si>
    <t xml:space="preserve">гр.3 больше либо равна гр.7
</t>
  </si>
  <si>
    <t xml:space="preserve">гр. 4 больше либо равна гр.8 по всем строкам
</t>
  </si>
  <si>
    <t xml:space="preserve">гр.12 больше либо равна гр.13 по всем строкам
</t>
  </si>
  <si>
    <t xml:space="preserve">гр. 14 больше либо равна гр.15 по всем строкам
</t>
  </si>
  <si>
    <t xml:space="preserve">гр.2  больше либо равна гр.6
</t>
  </si>
  <si>
    <t xml:space="preserve">гр.6  больше либо равна гр 7+ гр8
</t>
  </si>
  <si>
    <t xml:space="preserve">гр. 10 больше либо равна сумме граф 11+12+14+16+17+18
</t>
  </si>
  <si>
    <t xml:space="preserve">гр.19 меньше либо равна гр.9
</t>
  </si>
  <si>
    <t>гр.9 меньше либо равна гр.10</t>
  </si>
  <si>
    <t xml:space="preserve">гр.3  больше либо равна гр.7
</t>
  </si>
  <si>
    <t xml:space="preserve">гр.4  больше либо равна гр8
</t>
  </si>
  <si>
    <t xml:space="preserve">гр.20 меньше либо равна гр.9
</t>
  </si>
  <si>
    <t>гр.21 меньше либо равна гр.9</t>
  </si>
  <si>
    <t xml:space="preserve">гр.12 больше либо равна гр.13
</t>
  </si>
  <si>
    <t xml:space="preserve">гр. 14 больше либо равна гр.15
</t>
  </si>
  <si>
    <t xml:space="preserve">
гр.9 больше либо равна сумме граф 10+11+13+15+16+17 по всем строкам</t>
  </si>
  <si>
    <r>
      <t xml:space="preserve">в вечернее время           (после 18:00) </t>
    </r>
    <r>
      <rPr>
        <b/>
        <sz val="14"/>
        <color indexed="10"/>
        <rFont val="Times New Roman"/>
        <family val="1"/>
        <charset val="204"/>
      </rPr>
      <t>(из гр. 6)</t>
    </r>
  </si>
  <si>
    <r>
      <t xml:space="preserve"> в субботу </t>
    </r>
    <r>
      <rPr>
        <b/>
        <sz val="14"/>
        <color indexed="10"/>
        <rFont val="Times New Roman"/>
        <family val="1"/>
        <charset val="204"/>
      </rPr>
      <t>(из гр. 6)</t>
    </r>
  </si>
  <si>
    <r>
      <t xml:space="preserve">Количество граждан, прошедших профосмотр в день обращения (прошедших ВСЕ ИССЛЕДОВАНИЯ за  один день) </t>
    </r>
    <r>
      <rPr>
        <b/>
        <sz val="14"/>
        <color rgb="FFFF0000"/>
        <rFont val="Times New Roman"/>
        <family val="1"/>
        <charset val="204"/>
      </rPr>
      <t>(из гр.2)</t>
    </r>
  </si>
  <si>
    <r>
      <t xml:space="preserve">Количество граждан, прошедших 1 этап диспансеризации в день обращения (прошедших ВСЕ ИССЛЕДОВАНИЯ за  один день) </t>
    </r>
    <r>
      <rPr>
        <b/>
        <sz val="14"/>
        <color rgb="FFFF0000"/>
        <rFont val="Times New Roman"/>
        <family val="1"/>
        <charset val="204"/>
      </rPr>
      <t>(из гр.2)</t>
    </r>
  </si>
  <si>
    <t>Тридубова Надежда Александровна</t>
  </si>
  <si>
    <t>Беспалов Владислав Владимирович</t>
  </si>
  <si>
    <t>29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</si>
</sst>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;;;"/>
    <numFmt numFmtId="165" formatCode="0.0"/>
  </numFmts>
  <fonts count="6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7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20"/>
      <name val="Times New Roman"/>
      <family val="1"/>
      <charset val="204"/>
    </font>
    <font>
      <b/>
      <u/>
      <sz val="15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u/>
      <sz val="14"/>
      <color indexed="10"/>
      <name val="Times New Roman"/>
      <family val="1"/>
      <charset val="204"/>
    </font>
    <font>
      <sz val="1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name val="Arial"/>
      <family val="2"/>
      <charset val="204"/>
    </font>
    <font>
      <sz val="14"/>
      <color indexed="10"/>
      <name val="Times New Roman"/>
      <family val="1"/>
      <charset val="204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3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4"/>
      <color rgb="FFFF0000"/>
      <name val="Times New Roman"/>
      <family val="1"/>
      <charset val="204"/>
    </font>
    <font>
      <sz val="10"/>
      <color theme="1"/>
      <name val="Calibri"/>
      <family val="2"/>
      <scheme val="minor"/>
    </font>
    <font>
      <i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3"/>
      <color rgb="FFFF0000"/>
      <name val="Calibri"/>
      <family val="2"/>
      <scheme val="minor"/>
    </font>
    <font>
      <sz val="10"/>
      <color rgb="FFFF0000"/>
      <name val="Arial Cyr"/>
      <charset val="204"/>
    </font>
    <font>
      <b/>
      <sz val="16"/>
      <color indexed="1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3"/>
      <color rgb="FFFF0000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i/>
      <sz val="15"/>
      <name val="Times New Roman"/>
      <family val="1"/>
      <charset val="204"/>
    </font>
    <font>
      <b/>
      <i/>
      <sz val="15"/>
      <color rgb="FFFF0000"/>
      <name val="Times New Roman"/>
      <family val="1"/>
      <charset val="204"/>
    </font>
    <font>
      <sz val="13"/>
      <color theme="1"/>
      <name val="Calibri"/>
      <family val="2"/>
      <scheme val="minor"/>
    </font>
    <font>
      <b/>
      <sz val="16"/>
      <color rgb="FFFF0000"/>
      <name val="Calibri"/>
      <family val="2"/>
      <charset val="204"/>
      <scheme val="minor"/>
    </font>
    <font>
      <sz val="15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BE7F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FF4E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FF00"/>
        <bgColor indexed="64"/>
      </patternFill>
    </fill>
  </fills>
  <borders count="7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531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33" fillId="0" borderId="0" xfId="0" applyFont="1" applyProtection="1"/>
    <xf numFmtId="0" fontId="34" fillId="0" borderId="0" xfId="0" applyFont="1" applyProtection="1"/>
    <xf numFmtId="0" fontId="5" fillId="0" borderId="0" xfId="0" applyFont="1" applyAlignment="1" applyProtection="1">
      <alignment horizontal="right"/>
    </xf>
    <xf numFmtId="0" fontId="5" fillId="0" borderId="0" xfId="0" applyFont="1" applyProtection="1"/>
    <xf numFmtId="0" fontId="35" fillId="0" borderId="0" xfId="0" applyFont="1" applyProtection="1"/>
    <xf numFmtId="0" fontId="5" fillId="0" borderId="0" xfId="0" applyFont="1" applyAlignment="1" applyProtection="1">
      <alignment wrapText="1"/>
    </xf>
    <xf numFmtId="0" fontId="36" fillId="0" borderId="0" xfId="0" applyFont="1" applyAlignment="1" applyProtection="1"/>
    <xf numFmtId="0" fontId="37" fillId="0" borderId="2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protection locked="0"/>
    </xf>
    <xf numFmtId="0" fontId="33" fillId="0" borderId="0" xfId="0" applyFont="1" applyFill="1" applyBorder="1" applyProtection="1"/>
    <xf numFmtId="0" fontId="0" fillId="0" borderId="0" xfId="0" applyFill="1" applyBorder="1"/>
    <xf numFmtId="0" fontId="8" fillId="0" borderId="0" xfId="0" applyFont="1" applyAlignment="1" applyProtection="1">
      <alignment vertical="center" wrapText="1"/>
    </xf>
    <xf numFmtId="0" fontId="33" fillId="0" borderId="0" xfId="0" applyFont="1" applyAlignment="1" applyProtection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20" xfId="0" applyBorder="1" applyAlignment="1">
      <alignment horizontal="center" wrapText="1"/>
    </xf>
    <xf numFmtId="0" fontId="38" fillId="0" borderId="24" xfId="0" applyFont="1" applyBorder="1" applyAlignment="1">
      <alignment horizontal="center" vertical="center" wrapText="1"/>
    </xf>
    <xf numFmtId="0" fontId="38" fillId="0" borderId="25" xfId="0" applyFont="1" applyBorder="1" applyAlignment="1">
      <alignment horizontal="center" vertical="center" wrapText="1"/>
    </xf>
    <xf numFmtId="0" fontId="38" fillId="0" borderId="26" xfId="0" applyFont="1" applyBorder="1" applyAlignment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/>
    </xf>
    <xf numFmtId="0" fontId="9" fillId="0" borderId="0" xfId="0" applyFont="1" applyProtection="1"/>
    <xf numFmtId="0" fontId="10" fillId="8" borderId="0" xfId="0" applyFont="1" applyFill="1" applyAlignment="1">
      <alignment wrapText="1"/>
    </xf>
    <xf numFmtId="0" fontId="38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27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7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28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 applyAlignment="1" applyProtection="1">
      <alignment wrapText="1"/>
      <protection hidden="1"/>
    </xf>
    <xf numFmtId="0" fontId="0" fillId="0" borderId="0" xfId="0" applyFill="1" applyAlignment="1" applyProtection="1">
      <alignment horizontal="center"/>
    </xf>
    <xf numFmtId="0" fontId="34" fillId="0" borderId="0" xfId="0" applyFont="1" applyAlignment="1" applyProtection="1">
      <alignment wrapText="1"/>
    </xf>
    <xf numFmtId="0" fontId="33" fillId="0" borderId="0" xfId="0" applyFont="1" applyAlignment="1" applyProtection="1">
      <alignment wrapText="1"/>
    </xf>
    <xf numFmtId="0" fontId="33" fillId="0" borderId="0" xfId="0" applyFont="1" applyBorder="1" applyProtection="1"/>
    <xf numFmtId="0" fontId="4" fillId="0" borderId="0" xfId="0" applyFont="1" applyBorder="1" applyAlignment="1" applyProtection="1">
      <alignment vertical="center"/>
    </xf>
    <xf numFmtId="0" fontId="40" fillId="0" borderId="0" xfId="0" applyFont="1" applyFill="1" applyBorder="1" applyProtection="1"/>
    <xf numFmtId="0" fontId="40" fillId="0" borderId="0" xfId="0" applyFont="1" applyFill="1" applyBorder="1" applyAlignment="1" applyProtection="1">
      <protection locked="0"/>
    </xf>
    <xf numFmtId="0" fontId="33" fillId="0" borderId="0" xfId="0" applyFont="1" applyFill="1" applyProtection="1"/>
    <xf numFmtId="0" fontId="32" fillId="0" borderId="0" xfId="0" applyFont="1"/>
    <xf numFmtId="0" fontId="41" fillId="0" borderId="0" xfId="0" applyFont="1" applyFill="1" applyBorder="1" applyAlignment="1" applyProtection="1">
      <alignment horizontal="left" vertical="center" wrapText="1"/>
    </xf>
    <xf numFmtId="0" fontId="38" fillId="9" borderId="3" xfId="0" applyNumberFormat="1" applyFont="1" applyFill="1" applyBorder="1" applyAlignment="1" applyProtection="1">
      <alignment horizontal="center" vertical="center" wrapText="1"/>
      <protection locked="0"/>
    </xf>
    <xf numFmtId="0" fontId="23" fillId="2" borderId="3" xfId="0" applyFont="1" applyFill="1" applyBorder="1" applyAlignment="1" applyProtection="1">
      <alignment horizontal="center" vertical="center" wrapText="1"/>
      <protection hidden="1"/>
    </xf>
    <xf numFmtId="0" fontId="6" fillId="2" borderId="3" xfId="0" applyFont="1" applyFill="1" applyBorder="1" applyAlignment="1" applyProtection="1">
      <alignment horizontal="center" vertical="center" wrapText="1"/>
      <protection hidden="1"/>
    </xf>
    <xf numFmtId="0" fontId="38" fillId="9" borderId="6" xfId="0" applyNumberFormat="1" applyFont="1" applyFill="1" applyBorder="1" applyAlignment="1" applyProtection="1">
      <alignment horizontal="center" vertical="center" wrapText="1"/>
      <protection locked="0"/>
    </xf>
    <xf numFmtId="0" fontId="23" fillId="2" borderId="14" xfId="0" applyFont="1" applyFill="1" applyBorder="1" applyAlignment="1" applyProtection="1">
      <alignment horizontal="center" vertical="center" wrapText="1"/>
      <protection hidden="1"/>
    </xf>
    <xf numFmtId="0" fontId="38" fillId="0" borderId="0" xfId="0" applyFont="1" applyAlignment="1"/>
    <xf numFmtId="0" fontId="38" fillId="0" borderId="0" xfId="0" applyFont="1"/>
    <xf numFmtId="0" fontId="38" fillId="0" borderId="0" xfId="0" applyFont="1" applyAlignment="1">
      <alignment horizontal="center" vertical="center"/>
    </xf>
    <xf numFmtId="1" fontId="38" fillId="0" borderId="3" xfId="0" applyNumberFormat="1" applyFont="1" applyBorder="1" applyAlignment="1">
      <alignment horizontal="center" vertical="center"/>
    </xf>
    <xf numFmtId="0" fontId="43" fillId="0" borderId="0" xfId="0" applyFont="1"/>
    <xf numFmtId="0" fontId="14" fillId="0" borderId="0" xfId="0" applyFont="1" applyFill="1" applyBorder="1" applyAlignment="1" applyProtection="1">
      <protection locked="0"/>
    </xf>
    <xf numFmtId="49" fontId="37" fillId="0" borderId="2" xfId="0" applyNumberFormat="1" applyFont="1" applyFill="1" applyBorder="1" applyAlignment="1" applyProtection="1">
      <alignment horizontal="center" vertical="center" wrapText="1"/>
    </xf>
    <xf numFmtId="0" fontId="13" fillId="11" borderId="30" xfId="0" applyFont="1" applyFill="1" applyBorder="1" applyAlignment="1" applyProtection="1">
      <alignment horizontal="center" vertical="top" wrapText="1"/>
    </xf>
    <xf numFmtId="0" fontId="35" fillId="0" borderId="19" xfId="0" applyFont="1" applyFill="1" applyBorder="1" applyAlignment="1" applyProtection="1">
      <alignment horizontal="center" vertical="center"/>
      <protection locked="0"/>
    </xf>
    <xf numFmtId="0" fontId="41" fillId="11" borderId="19" xfId="0" applyFont="1" applyFill="1" applyBorder="1" applyAlignment="1" applyProtection="1">
      <alignment horizontal="center" vertical="center"/>
    </xf>
    <xf numFmtId="0" fontId="28" fillId="8" borderId="0" xfId="0" applyFont="1" applyFill="1" applyAlignment="1">
      <alignment wrapText="1"/>
    </xf>
    <xf numFmtId="0" fontId="44" fillId="0" borderId="0" xfId="0" applyFont="1"/>
    <xf numFmtId="0" fontId="37" fillId="11" borderId="2" xfId="0" applyFont="1" applyFill="1" applyBorder="1" applyAlignment="1" applyProtection="1">
      <alignment horizontal="center" vertical="center" wrapText="1"/>
    </xf>
    <xf numFmtId="0" fontId="38" fillId="9" borderId="32" xfId="0" applyNumberFormat="1" applyFont="1" applyFill="1" applyBorder="1" applyAlignment="1" applyProtection="1">
      <alignment horizontal="center" vertical="center" wrapText="1"/>
      <protection locked="0"/>
    </xf>
    <xf numFmtId="0" fontId="38" fillId="9" borderId="33" xfId="0" applyNumberFormat="1" applyFont="1" applyFill="1" applyBorder="1" applyAlignment="1" applyProtection="1">
      <alignment horizontal="center" vertical="center" wrapText="1"/>
      <protection locked="0"/>
    </xf>
    <xf numFmtId="1" fontId="5" fillId="13" borderId="22" xfId="0" applyNumberFormat="1" applyFont="1" applyFill="1" applyBorder="1" applyAlignment="1">
      <alignment horizontal="center" vertical="center"/>
    </xf>
    <xf numFmtId="1" fontId="6" fillId="13" borderId="22" xfId="0" applyNumberFormat="1" applyFont="1" applyFill="1" applyBorder="1" applyAlignment="1">
      <alignment horizontal="center" vertical="center"/>
    </xf>
    <xf numFmtId="1" fontId="6" fillId="13" borderId="23" xfId="0" applyNumberFormat="1" applyFont="1" applyFill="1" applyBorder="1" applyAlignment="1">
      <alignment horizontal="center" vertical="center"/>
    </xf>
    <xf numFmtId="1" fontId="16" fillId="0" borderId="35" xfId="0" applyNumberFormat="1" applyFont="1" applyBorder="1" applyAlignment="1">
      <alignment horizontal="center" vertical="center"/>
    </xf>
    <xf numFmtId="1" fontId="16" fillId="0" borderId="36" xfId="0" applyNumberFormat="1" applyFont="1" applyBorder="1" applyAlignment="1">
      <alignment horizontal="center" vertical="center" wrapText="1"/>
    </xf>
    <xf numFmtId="1" fontId="16" fillId="11" borderId="37" xfId="0" applyNumberFormat="1" applyFont="1" applyFill="1" applyBorder="1" applyAlignment="1">
      <alignment horizontal="center" vertical="center"/>
    </xf>
    <xf numFmtId="1" fontId="16" fillId="11" borderId="35" xfId="0" applyNumberFormat="1" applyFont="1" applyFill="1" applyBorder="1" applyAlignment="1">
      <alignment horizontal="center" vertical="center"/>
    </xf>
    <xf numFmtId="1" fontId="16" fillId="11" borderId="35" xfId="0" applyNumberFormat="1" applyFont="1" applyFill="1" applyBorder="1" applyAlignment="1">
      <alignment horizontal="center" vertical="center" wrapText="1"/>
    </xf>
    <xf numFmtId="0" fontId="46" fillId="11" borderId="4" xfId="0" applyFont="1" applyFill="1" applyBorder="1" applyAlignment="1">
      <alignment horizontal="center" vertical="center"/>
    </xf>
    <xf numFmtId="1" fontId="16" fillId="0" borderId="38" xfId="0" applyNumberFormat="1" applyFont="1" applyBorder="1" applyAlignment="1">
      <alignment horizontal="center" vertical="center"/>
    </xf>
    <xf numFmtId="1" fontId="16" fillId="0" borderId="39" xfId="0" applyNumberFormat="1" applyFont="1" applyBorder="1" applyAlignment="1">
      <alignment horizontal="center" vertical="center" wrapText="1"/>
    </xf>
    <xf numFmtId="1" fontId="5" fillId="0" borderId="19" xfId="0" applyNumberFormat="1" applyFont="1" applyBorder="1" applyAlignment="1">
      <alignment horizontal="left" vertical="center" wrapText="1"/>
    </xf>
    <xf numFmtId="1" fontId="16" fillId="0" borderId="37" xfId="0" applyNumberFormat="1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 wrapText="1"/>
    </xf>
    <xf numFmtId="0" fontId="35" fillId="11" borderId="30" xfId="0" applyFont="1" applyFill="1" applyBorder="1" applyAlignment="1" applyProtection="1">
      <alignment horizontal="center" vertical="center" wrapText="1"/>
    </xf>
    <xf numFmtId="0" fontId="47" fillId="0" borderId="2" xfId="0" applyFont="1" applyFill="1" applyBorder="1" applyAlignment="1" applyProtection="1">
      <alignment horizontal="center" vertical="center" wrapText="1"/>
    </xf>
    <xf numFmtId="49" fontId="47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5" fillId="0" borderId="0" xfId="0" applyFont="1" applyFill="1" applyAlignment="1" applyProtection="1">
      <alignment wrapText="1"/>
    </xf>
    <xf numFmtId="0" fontId="35" fillId="0" borderId="0" xfId="0" applyFont="1" applyFill="1" applyProtection="1"/>
    <xf numFmtId="0" fontId="0" fillId="0" borderId="0" xfId="0" applyFill="1" applyAlignment="1">
      <alignment wrapText="1"/>
    </xf>
    <xf numFmtId="0" fontId="0" fillId="0" borderId="0" xfId="0" applyFill="1" applyAlignment="1">
      <alignment horizontal="left" wrapText="1"/>
    </xf>
    <xf numFmtId="0" fontId="47" fillId="0" borderId="0" xfId="0" applyFont="1"/>
    <xf numFmtId="0" fontId="11" fillId="0" borderId="46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8" fillId="0" borderId="0" xfId="0" applyFont="1" applyAlignment="1">
      <alignment wrapText="1"/>
    </xf>
    <xf numFmtId="0" fontId="4" fillId="6" borderId="49" xfId="0" applyFont="1" applyFill="1" applyBorder="1" applyAlignment="1">
      <alignment horizontal="center" vertical="center" wrapText="1"/>
    </xf>
    <xf numFmtId="0" fontId="45" fillId="5" borderId="43" xfId="0" applyFont="1" applyFill="1" applyBorder="1" applyAlignment="1">
      <alignment horizontal="center" vertical="center" wrapText="1"/>
    </xf>
    <xf numFmtId="1" fontId="16" fillId="0" borderId="52" xfId="0" applyNumberFormat="1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4" fillId="15" borderId="27" xfId="0" applyFont="1" applyFill="1" applyBorder="1" applyAlignment="1">
      <alignment horizontal="left" vertical="center" wrapText="1"/>
    </xf>
    <xf numFmtId="1" fontId="45" fillId="16" borderId="6" xfId="0" applyNumberFormat="1" applyFont="1" applyFill="1" applyBorder="1" applyAlignment="1">
      <alignment horizontal="center" vertical="center"/>
    </xf>
    <xf numFmtId="0" fontId="25" fillId="15" borderId="27" xfId="0" applyFont="1" applyFill="1" applyBorder="1" applyAlignment="1">
      <alignment horizontal="left" vertical="center" wrapText="1"/>
    </xf>
    <xf numFmtId="1" fontId="45" fillId="9" borderId="16" xfId="0" applyNumberFormat="1" applyFont="1" applyFill="1" applyBorder="1" applyAlignment="1" applyProtection="1">
      <alignment horizontal="center" vertical="center"/>
      <protection locked="0"/>
    </xf>
    <xf numFmtId="1" fontId="45" fillId="16" borderId="16" xfId="0" applyNumberFormat="1" applyFont="1" applyFill="1" applyBorder="1" applyAlignment="1">
      <alignment horizontal="center" vertical="center"/>
    </xf>
    <xf numFmtId="0" fontId="45" fillId="15" borderId="21" xfId="0" applyFont="1" applyFill="1" applyBorder="1" applyAlignment="1">
      <alignment horizontal="center" vertical="center"/>
    </xf>
    <xf numFmtId="0" fontId="45" fillId="16" borderId="23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165" fontId="45" fillId="7" borderId="19" xfId="0" applyNumberFormat="1" applyFont="1" applyFill="1" applyBorder="1" applyAlignment="1">
      <alignment horizontal="center" vertical="center" wrapText="1"/>
    </xf>
    <xf numFmtId="0" fontId="4" fillId="15" borderId="47" xfId="0" applyFont="1" applyFill="1" applyBorder="1" applyAlignment="1">
      <alignment horizontal="left" vertical="center" wrapText="1"/>
    </xf>
    <xf numFmtId="1" fontId="38" fillId="0" borderId="4" xfId="0" applyNumberFormat="1" applyFont="1" applyBorder="1" applyAlignment="1">
      <alignment horizontal="center" vertical="center"/>
    </xf>
    <xf numFmtId="1" fontId="45" fillId="16" borderId="5" xfId="0" applyNumberFormat="1" applyFont="1" applyFill="1" applyBorder="1" applyAlignment="1">
      <alignment horizontal="center" vertical="center"/>
    </xf>
    <xf numFmtId="1" fontId="45" fillId="9" borderId="18" xfId="0" applyNumberFormat="1" applyFont="1" applyFill="1" applyBorder="1" applyAlignment="1" applyProtection="1">
      <alignment horizontal="center" vertical="center"/>
      <protection locked="0"/>
    </xf>
    <xf numFmtId="0" fontId="25" fillId="15" borderId="51" xfId="0" applyFont="1" applyFill="1" applyBorder="1" applyAlignment="1">
      <alignment horizontal="left" vertical="center" wrapText="1"/>
    </xf>
    <xf numFmtId="1" fontId="38" fillId="0" borderId="41" xfId="0" applyNumberFormat="1" applyFont="1" applyBorder="1" applyAlignment="1">
      <alignment horizontal="center" vertical="center"/>
    </xf>
    <xf numFmtId="1" fontId="45" fillId="16" borderId="42" xfId="0" applyNumberFormat="1" applyFont="1" applyFill="1" applyBorder="1" applyAlignment="1">
      <alignment horizontal="center" vertical="center"/>
    </xf>
    <xf numFmtId="1" fontId="45" fillId="9" borderId="50" xfId="0" applyNumberFormat="1" applyFont="1" applyFill="1" applyBorder="1" applyAlignment="1" applyProtection="1">
      <alignment horizontal="center" vertical="center"/>
      <protection locked="0"/>
    </xf>
    <xf numFmtId="0" fontId="4" fillId="16" borderId="21" xfId="0" applyFont="1" applyFill="1" applyBorder="1" applyAlignment="1">
      <alignment horizontal="center" vertical="center" wrapText="1"/>
    </xf>
    <xf numFmtId="1" fontId="45" fillId="16" borderId="22" xfId="0" applyNumberFormat="1" applyFont="1" applyFill="1" applyBorder="1" applyAlignment="1">
      <alignment horizontal="center" vertical="center"/>
    </xf>
    <xf numFmtId="1" fontId="45" fillId="16" borderId="23" xfId="0" applyNumberFormat="1" applyFont="1" applyFill="1" applyBorder="1" applyAlignment="1">
      <alignment horizontal="center" vertical="center"/>
    </xf>
    <xf numFmtId="1" fontId="45" fillId="16" borderId="19" xfId="0" applyNumberFormat="1" applyFont="1" applyFill="1" applyBorder="1" applyAlignment="1">
      <alignment horizontal="center" vertical="center"/>
    </xf>
    <xf numFmtId="2" fontId="45" fillId="16" borderId="19" xfId="0" applyNumberFormat="1" applyFont="1" applyFill="1" applyBorder="1" applyAlignment="1" applyProtection="1">
      <alignment horizontal="center" vertical="center"/>
    </xf>
    <xf numFmtId="0" fontId="0" fillId="17" borderId="0" xfId="0" applyFill="1" applyAlignment="1">
      <alignment wrapText="1"/>
    </xf>
    <xf numFmtId="0" fontId="0" fillId="10" borderId="0" xfId="0" applyFill="1" applyAlignment="1">
      <alignment wrapText="1"/>
    </xf>
    <xf numFmtId="0" fontId="39" fillId="0" borderId="0" xfId="0" applyFo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30" xfId="0" applyNumberFormat="1" applyBorder="1" applyAlignment="1">
      <alignment horizontal="center" wrapText="1"/>
    </xf>
    <xf numFmtId="0" fontId="0" fillId="0" borderId="67" xfId="0" applyNumberFormat="1" applyBorder="1" applyAlignment="1">
      <alignment horizontal="center" wrapText="1"/>
    </xf>
    <xf numFmtId="0" fontId="0" fillId="0" borderId="61" xfId="0" applyBorder="1" applyAlignment="1">
      <alignment horizontal="center" wrapText="1"/>
    </xf>
    <xf numFmtId="0" fontId="0" fillId="0" borderId="63" xfId="0" applyBorder="1" applyAlignment="1">
      <alignment horizontal="center" wrapText="1"/>
    </xf>
    <xf numFmtId="49" fontId="0" fillId="0" borderId="67" xfId="0" applyNumberFormat="1" applyBorder="1" applyAlignment="1">
      <alignment horizontal="center" wrapText="1"/>
    </xf>
    <xf numFmtId="49" fontId="0" fillId="0" borderId="61" xfId="0" applyNumberFormat="1" applyBorder="1" applyAlignment="1">
      <alignment horizontal="center" wrapText="1"/>
    </xf>
    <xf numFmtId="49" fontId="0" fillId="0" borderId="62" xfId="0" applyNumberFormat="1" applyBorder="1" applyAlignment="1">
      <alignment horizontal="center" wrapText="1"/>
    </xf>
    <xf numFmtId="0" fontId="0" fillId="0" borderId="68" xfId="0" applyBorder="1" applyAlignment="1">
      <alignment horizontal="center" wrapText="1"/>
    </xf>
    <xf numFmtId="0" fontId="0" fillId="0" borderId="68" xfId="0" applyNumberFormat="1" applyBorder="1" applyAlignment="1">
      <alignment horizontal="center" wrapText="1"/>
    </xf>
    <xf numFmtId="0" fontId="0" fillId="0" borderId="61" xfId="0" applyNumberFormat="1" applyBorder="1" applyAlignment="1">
      <alignment horizontal="center" wrapText="1"/>
    </xf>
    <xf numFmtId="0" fontId="0" fillId="0" borderId="63" xfId="0" applyNumberFormat="1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41" fillId="11" borderId="18" xfId="0" applyFont="1" applyFill="1" applyBorder="1" applyAlignment="1" applyProtection="1">
      <alignment horizontal="center" vertical="center" wrapText="1"/>
    </xf>
    <xf numFmtId="0" fontId="41" fillId="15" borderId="18" xfId="0" applyFont="1" applyFill="1" applyBorder="1" applyAlignment="1" applyProtection="1">
      <alignment horizontal="center" vertical="center" wrapText="1"/>
    </xf>
    <xf numFmtId="0" fontId="41" fillId="15" borderId="19" xfId="0" applyFont="1" applyFill="1" applyBorder="1" applyAlignment="1" applyProtection="1">
      <alignment horizontal="center" vertical="center"/>
    </xf>
    <xf numFmtId="0" fontId="41" fillId="6" borderId="43" xfId="0" applyFont="1" applyFill="1" applyBorder="1" applyAlignment="1" applyProtection="1">
      <alignment horizontal="center" vertical="center" wrapText="1"/>
    </xf>
    <xf numFmtId="0" fontId="41" fillId="6" borderId="18" xfId="0" applyFont="1" applyFill="1" applyBorder="1" applyAlignment="1" applyProtection="1">
      <alignment horizontal="center" vertical="center" wrapText="1"/>
    </xf>
    <xf numFmtId="0" fontId="41" fillId="6" borderId="19" xfId="0" applyFont="1" applyFill="1" applyBorder="1" applyAlignment="1" applyProtection="1">
      <alignment horizontal="center" vertical="center"/>
    </xf>
    <xf numFmtId="0" fontId="41" fillId="14" borderId="19" xfId="0" applyFont="1" applyFill="1" applyBorder="1" applyAlignment="1" applyProtection="1">
      <alignment horizontal="center" vertical="center"/>
      <protection locked="0"/>
    </xf>
    <xf numFmtId="0" fontId="41" fillId="14" borderId="31" xfId="0" applyFont="1" applyFill="1" applyBorder="1" applyAlignment="1" applyProtection="1">
      <alignment horizontal="center" vertical="center"/>
      <protection locked="0"/>
    </xf>
    <xf numFmtId="49" fontId="47" fillId="0" borderId="19" xfId="0" applyNumberFormat="1" applyFont="1" applyFill="1" applyBorder="1" applyAlignment="1" applyProtection="1">
      <alignment horizontal="center" vertical="center" wrapText="1"/>
    </xf>
    <xf numFmtId="0" fontId="45" fillId="0" borderId="3" xfId="0" applyFont="1" applyFill="1" applyBorder="1" applyAlignment="1">
      <alignment wrapText="1"/>
    </xf>
    <xf numFmtId="0" fontId="38" fillId="0" borderId="3" xfId="0" applyFont="1" applyFill="1" applyBorder="1" applyAlignment="1">
      <alignment horizontal="center" wrapText="1"/>
    </xf>
    <xf numFmtId="0" fontId="45" fillId="17" borderId="3" xfId="0" applyFont="1" applyFill="1" applyBorder="1" applyAlignment="1">
      <alignment horizontal="center" wrapText="1"/>
    </xf>
    <xf numFmtId="0" fontId="4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wrapText="1"/>
    </xf>
    <xf numFmtId="0" fontId="50" fillId="0" borderId="0" xfId="0" applyFont="1" applyAlignment="1">
      <alignment horizontal="center" wrapText="1"/>
    </xf>
    <xf numFmtId="0" fontId="47" fillId="0" borderId="3" xfId="0" applyFont="1" applyFill="1" applyBorder="1" applyAlignment="1">
      <alignment horizontal="center" wrapText="1"/>
    </xf>
    <xf numFmtId="0" fontId="50" fillId="0" borderId="0" xfId="0" applyFont="1" applyFill="1" applyAlignment="1">
      <alignment horizontal="center" wrapText="1"/>
    </xf>
    <xf numFmtId="0" fontId="33" fillId="0" borderId="0" xfId="0" applyFont="1" applyAlignment="1" applyProtection="1">
      <alignment horizontal="center" wrapText="1"/>
    </xf>
    <xf numFmtId="0" fontId="36" fillId="0" borderId="3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50" fillId="0" borderId="3" xfId="0" applyFont="1" applyBorder="1" applyAlignment="1">
      <alignment horizontal="center" wrapText="1"/>
    </xf>
    <xf numFmtId="0" fontId="47" fillId="0" borderId="3" xfId="0" applyFont="1" applyBorder="1" applyAlignment="1">
      <alignment horizontal="center" wrapText="1"/>
    </xf>
    <xf numFmtId="0" fontId="50" fillId="0" borderId="0" xfId="0" applyFont="1" applyAlignment="1">
      <alignment horizontal="center"/>
    </xf>
    <xf numFmtId="0" fontId="45" fillId="0" borderId="3" xfId="0" applyFont="1" applyBorder="1" applyAlignment="1">
      <alignment horizontal="center" vertical="center" wrapText="1"/>
    </xf>
    <xf numFmtId="0" fontId="33" fillId="0" borderId="0" xfId="0" applyFont="1" applyAlignment="1" applyProtection="1">
      <alignment horizontal="left" wrapText="1"/>
    </xf>
    <xf numFmtId="0" fontId="47" fillId="0" borderId="3" xfId="0" applyFont="1" applyBorder="1" applyAlignment="1">
      <alignment horizontal="left" wrapText="1"/>
    </xf>
    <xf numFmtId="0" fontId="38" fillId="0" borderId="3" xfId="0" applyFont="1" applyBorder="1" applyAlignment="1">
      <alignment horizontal="left" vertical="center" wrapText="1"/>
    </xf>
    <xf numFmtId="0" fontId="45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8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5" fillId="0" borderId="3" xfId="0" applyFont="1" applyFill="1" applyBorder="1" applyAlignment="1">
      <alignment horizontal="left" vertical="center" wrapText="1"/>
    </xf>
    <xf numFmtId="0" fontId="47" fillId="0" borderId="3" xfId="0" applyFont="1" applyFill="1" applyBorder="1" applyAlignment="1">
      <alignment horizontal="left" wrapText="1"/>
    </xf>
    <xf numFmtId="0" fontId="52" fillId="6" borderId="11" xfId="0" applyFont="1" applyFill="1" applyBorder="1" applyAlignment="1">
      <alignment horizontal="left" vertical="center" wrapText="1"/>
    </xf>
    <xf numFmtId="0" fontId="52" fillId="6" borderId="12" xfId="0" applyFont="1" applyFill="1" applyBorder="1" applyAlignment="1">
      <alignment horizontal="left" vertical="center" wrapText="1"/>
    </xf>
    <xf numFmtId="0" fontId="7" fillId="5" borderId="11" xfId="0" applyFont="1" applyFill="1" applyBorder="1" applyAlignment="1">
      <alignment horizontal="left" vertical="center" wrapText="1"/>
    </xf>
    <xf numFmtId="0" fontId="7" fillId="5" borderId="12" xfId="0" applyFont="1" applyFill="1" applyBorder="1" applyAlignment="1">
      <alignment horizontal="left" vertical="center" wrapText="1"/>
    </xf>
    <xf numFmtId="0" fontId="38" fillId="6" borderId="32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33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34" xfId="0" applyNumberFormat="1" applyFont="1" applyFill="1" applyBorder="1" applyAlignment="1" applyProtection="1">
      <alignment horizontal="center" vertical="center" wrapText="1"/>
      <protection locked="0"/>
    </xf>
    <xf numFmtId="0" fontId="42" fillId="6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38" fillId="0" borderId="55" xfId="0" applyFont="1" applyFill="1" applyBorder="1" applyAlignment="1" applyProtection="1">
      <alignment horizontal="center" vertical="center" wrapText="1"/>
      <protection locked="0"/>
    </xf>
    <xf numFmtId="0" fontId="38" fillId="0" borderId="14" xfId="0" applyFont="1" applyFill="1" applyBorder="1" applyAlignment="1" applyProtection="1">
      <alignment horizontal="center" vertical="center" wrapText="1"/>
      <protection locked="0"/>
    </xf>
    <xf numFmtId="0" fontId="38" fillId="0" borderId="15" xfId="0" applyFont="1" applyFill="1" applyBorder="1" applyAlignment="1" applyProtection="1">
      <alignment horizontal="center" vertical="center" wrapText="1"/>
      <protection locked="0"/>
    </xf>
    <xf numFmtId="0" fontId="38" fillId="6" borderId="70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71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72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55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14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15" xfId="0" applyNumberFormat="1" applyFont="1" applyFill="1" applyBorder="1" applyAlignment="1" applyProtection="1">
      <alignment horizontal="center" vertical="center" wrapText="1"/>
      <protection locked="0"/>
    </xf>
    <xf numFmtId="0" fontId="51" fillId="9" borderId="53" xfId="0" applyFont="1" applyFill="1" applyBorder="1" applyAlignment="1">
      <alignment horizontal="left" vertical="center" wrapText="1" indent="2"/>
    </xf>
    <xf numFmtId="0" fontId="45" fillId="6" borderId="9" xfId="0" applyFont="1" applyFill="1" applyBorder="1" applyAlignment="1">
      <alignment horizontal="center" vertical="center" wrapText="1"/>
    </xf>
    <xf numFmtId="0" fontId="45" fillId="6" borderId="10" xfId="0" applyFont="1" applyFill="1" applyBorder="1" applyAlignment="1">
      <alignment horizontal="center" vertical="center" wrapText="1"/>
    </xf>
    <xf numFmtId="0" fontId="11" fillId="9" borderId="54" xfId="0" applyFont="1" applyFill="1" applyBorder="1" applyAlignment="1">
      <alignment horizontal="center" vertical="center" wrapText="1"/>
    </xf>
    <xf numFmtId="0" fontId="38" fillId="9" borderId="53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5" fillId="5" borderId="12" xfId="0" applyFont="1" applyFill="1" applyBorder="1" applyAlignment="1">
      <alignment horizontal="center" vertical="center" wrapText="1"/>
    </xf>
    <xf numFmtId="0" fontId="4" fillId="11" borderId="49" xfId="0" applyFont="1" applyFill="1" applyBorder="1" applyAlignment="1">
      <alignment horizontal="center" vertical="center" wrapText="1"/>
    </xf>
    <xf numFmtId="0" fontId="42" fillId="11" borderId="2" xfId="0" applyFont="1" applyFill="1" applyBorder="1" applyAlignment="1">
      <alignment horizontal="left" vertical="center" wrapText="1"/>
    </xf>
    <xf numFmtId="0" fontId="38" fillId="11" borderId="32" xfId="0" applyNumberFormat="1" applyFont="1" applyFill="1" applyBorder="1" applyAlignment="1" applyProtection="1">
      <alignment horizontal="center" vertical="center" wrapText="1"/>
      <protection locked="0"/>
    </xf>
    <xf numFmtId="0" fontId="38" fillId="11" borderId="33" xfId="0" applyNumberFormat="1" applyFont="1" applyFill="1" applyBorder="1" applyAlignment="1" applyProtection="1">
      <alignment horizontal="center" vertical="center" wrapText="1"/>
      <protection locked="0"/>
    </xf>
    <xf numFmtId="0" fontId="38" fillId="11" borderId="34" xfId="0" applyNumberFormat="1" applyFont="1" applyFill="1" applyBorder="1" applyAlignment="1" applyProtection="1">
      <alignment horizontal="center" vertical="center" wrapText="1"/>
      <protection locked="0"/>
    </xf>
    <xf numFmtId="0" fontId="45" fillId="11" borderId="9" xfId="0" applyFont="1" applyFill="1" applyBorder="1" applyAlignment="1">
      <alignment horizontal="center" vertical="center" wrapText="1"/>
    </xf>
    <xf numFmtId="0" fontId="52" fillId="11" borderId="11" xfId="0" applyFont="1" applyFill="1" applyBorder="1" applyAlignment="1">
      <alignment horizontal="left" vertical="center" wrapText="1"/>
    </xf>
    <xf numFmtId="0" fontId="38" fillId="11" borderId="3" xfId="0" applyNumberFormat="1" applyFont="1" applyFill="1" applyBorder="1" applyAlignment="1" applyProtection="1">
      <alignment horizontal="center" vertical="center" wrapText="1"/>
      <protection locked="0"/>
    </xf>
    <xf numFmtId="0" fontId="38" fillId="11" borderId="6" xfId="0" applyNumberFormat="1" applyFont="1" applyFill="1" applyBorder="1" applyAlignment="1" applyProtection="1">
      <alignment horizontal="center" vertical="center" wrapText="1"/>
      <protection locked="0"/>
    </xf>
    <xf numFmtId="0" fontId="38" fillId="11" borderId="27" xfId="0" applyNumberFormat="1" applyFont="1" applyFill="1" applyBorder="1" applyAlignment="1" applyProtection="1">
      <alignment horizontal="center" vertical="center" wrapText="1"/>
      <protection locked="0"/>
    </xf>
    <xf numFmtId="0" fontId="4" fillId="11" borderId="10" xfId="0" applyFont="1" applyFill="1" applyBorder="1" applyAlignment="1">
      <alignment horizontal="center" vertical="center" wrapText="1"/>
    </xf>
    <xf numFmtId="0" fontId="52" fillId="11" borderId="12" xfId="0" applyFont="1" applyFill="1" applyBorder="1" applyAlignment="1">
      <alignment horizontal="left" vertical="center" wrapText="1"/>
    </xf>
    <xf numFmtId="0" fontId="38" fillId="11" borderId="7" xfId="0" applyNumberFormat="1" applyFont="1" applyFill="1" applyBorder="1" applyAlignment="1" applyProtection="1">
      <alignment horizontal="center" vertical="center" wrapText="1"/>
      <protection locked="0"/>
    </xf>
    <xf numFmtId="0" fontId="38" fillId="11" borderId="8" xfId="0" applyNumberFormat="1" applyFont="1" applyFill="1" applyBorder="1" applyAlignment="1" applyProtection="1">
      <alignment horizontal="center" vertical="center" wrapText="1"/>
      <protection locked="0"/>
    </xf>
    <xf numFmtId="0" fontId="38" fillId="11" borderId="2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wrapText="1"/>
    </xf>
    <xf numFmtId="0" fontId="0" fillId="0" borderId="19" xfId="0" applyBorder="1" applyAlignment="1">
      <alignment horizontal="center" wrapText="1"/>
    </xf>
    <xf numFmtId="0" fontId="30" fillId="0" borderId="0" xfId="0" applyFont="1" applyProtection="1"/>
    <xf numFmtId="0" fontId="48" fillId="0" borderId="0" xfId="0" applyFont="1" applyAlignment="1">
      <alignment wrapText="1"/>
    </xf>
    <xf numFmtId="0" fontId="48" fillId="0" borderId="0" xfId="0" applyFont="1" applyAlignment="1">
      <alignment horizontal="left" wrapText="1"/>
    </xf>
    <xf numFmtId="0" fontId="54" fillId="0" borderId="0" xfId="0" applyFont="1" applyAlignment="1">
      <alignment wrapText="1"/>
    </xf>
    <xf numFmtId="0" fontId="54" fillId="0" borderId="0" xfId="0" applyFont="1"/>
    <xf numFmtId="0" fontId="54" fillId="0" borderId="0" xfId="0" applyFont="1" applyFill="1"/>
    <xf numFmtId="0" fontId="48" fillId="0" borderId="0" xfId="0" applyFont="1" applyFill="1" applyAlignment="1">
      <alignment wrapText="1"/>
    </xf>
    <xf numFmtId="0" fontId="53" fillId="0" borderId="0" xfId="0" applyFont="1" applyAlignment="1">
      <alignment horizontal="left" wrapText="1"/>
    </xf>
    <xf numFmtId="0" fontId="53" fillId="0" borderId="0" xfId="0" applyFont="1" applyAlignment="1">
      <alignment horizontal="center" vertical="top" wrapText="1"/>
    </xf>
    <xf numFmtId="0" fontId="31" fillId="0" borderId="0" xfId="0" applyFont="1" applyAlignment="1">
      <alignment wrapText="1"/>
    </xf>
    <xf numFmtId="0" fontId="0" fillId="0" borderId="62" xfId="0" applyBorder="1" applyAlignment="1">
      <alignment horizontal="center" wrapText="1"/>
    </xf>
    <xf numFmtId="0" fontId="0" fillId="0" borderId="67" xfId="0" applyBorder="1" applyAlignment="1">
      <alignment horizontal="center" wrapText="1"/>
    </xf>
    <xf numFmtId="164" fontId="0" fillId="0" borderId="0" xfId="0" applyNumberFormat="1" applyAlignment="1" applyProtection="1">
      <alignment horizontal="left" wrapText="1"/>
      <protection hidden="1"/>
    </xf>
    <xf numFmtId="164" fontId="35" fillId="0" borderId="0" xfId="0" applyNumberFormat="1" applyFont="1" applyAlignment="1" applyProtection="1">
      <alignment horizontal="left"/>
      <protection hidden="1"/>
    </xf>
    <xf numFmtId="0" fontId="0" fillId="0" borderId="19" xfId="0" applyBorder="1" applyAlignment="1">
      <alignment horizontal="left" wrapText="1"/>
    </xf>
    <xf numFmtId="0" fontId="50" fillId="0" borderId="0" xfId="0" applyFont="1" applyAlignment="1">
      <alignment horizontal="left" wrapText="1"/>
    </xf>
    <xf numFmtId="0" fontId="46" fillId="0" borderId="0" xfId="0" applyFont="1" applyAlignment="1" applyProtection="1">
      <alignment horizontal="center"/>
    </xf>
    <xf numFmtId="0" fontId="41" fillId="6" borderId="19" xfId="0" applyFont="1" applyFill="1" applyBorder="1" applyAlignment="1" applyProtection="1">
      <alignment horizontal="center" vertical="center"/>
      <protection locked="0"/>
    </xf>
    <xf numFmtId="0" fontId="38" fillId="11" borderId="69" xfId="0" applyFont="1" applyFill="1" applyBorder="1" applyAlignment="1" applyProtection="1">
      <alignment horizontal="center" vertical="center" wrapText="1"/>
    </xf>
    <xf numFmtId="0" fontId="45" fillId="11" borderId="16" xfId="0" applyFont="1" applyFill="1" applyBorder="1" applyAlignment="1" applyProtection="1">
      <alignment horizontal="center" vertical="center" wrapText="1"/>
    </xf>
    <xf numFmtId="0" fontId="45" fillId="11" borderId="17" xfId="0" applyFont="1" applyFill="1" applyBorder="1" applyAlignment="1" applyProtection="1">
      <alignment horizontal="center" vertical="center" wrapText="1"/>
    </xf>
    <xf numFmtId="0" fontId="4" fillId="5" borderId="19" xfId="0" applyFont="1" applyFill="1" applyBorder="1" applyAlignment="1" applyProtection="1">
      <alignment horizontal="center" vertical="center" wrapText="1"/>
    </xf>
    <xf numFmtId="0" fontId="11" fillId="5" borderId="69" xfId="0" applyFont="1" applyFill="1" applyBorder="1" applyAlignment="1" applyProtection="1">
      <alignment horizontal="center" vertical="center" wrapText="1"/>
    </xf>
    <xf numFmtId="0" fontId="4" fillId="5" borderId="16" xfId="0" applyFont="1" applyFill="1" applyBorder="1" applyAlignment="1" applyProtection="1">
      <alignment horizontal="center" vertical="center" wrapText="1"/>
    </xf>
    <xf numFmtId="0" fontId="4" fillId="5" borderId="17" xfId="0" applyFont="1" applyFill="1" applyBorder="1" applyAlignment="1" applyProtection="1">
      <alignment horizontal="center" vertical="center" wrapText="1"/>
    </xf>
    <xf numFmtId="0" fontId="45" fillId="6" borderId="19" xfId="0" applyNumberFormat="1" applyFont="1" applyFill="1" applyBorder="1" applyAlignment="1" applyProtection="1">
      <alignment horizontal="center" vertical="center" wrapText="1"/>
    </xf>
    <xf numFmtId="0" fontId="45" fillId="6" borderId="69" xfId="0" applyNumberFormat="1" applyFont="1" applyFill="1" applyBorder="1" applyAlignment="1" applyProtection="1">
      <alignment horizontal="center" vertical="center" wrapText="1"/>
    </xf>
    <xf numFmtId="0" fontId="45" fillId="6" borderId="16" xfId="0" applyNumberFormat="1" applyFont="1" applyFill="1" applyBorder="1" applyAlignment="1" applyProtection="1">
      <alignment horizontal="center" vertical="center" wrapText="1"/>
    </xf>
    <xf numFmtId="0" fontId="45" fillId="6" borderId="17" xfId="0" applyNumberFormat="1" applyFont="1" applyFill="1" applyBorder="1" applyAlignment="1" applyProtection="1">
      <alignment horizontal="center" vertical="center" wrapText="1"/>
    </xf>
    <xf numFmtId="0" fontId="45" fillId="11" borderId="19" xfId="0" applyNumberFormat="1" applyFont="1" applyFill="1" applyBorder="1" applyAlignment="1" applyProtection="1">
      <alignment horizontal="center" vertical="center" wrapText="1"/>
    </xf>
    <xf numFmtId="0" fontId="45" fillId="11" borderId="69" xfId="0" applyNumberFormat="1" applyFont="1" applyFill="1" applyBorder="1" applyAlignment="1" applyProtection="1">
      <alignment horizontal="center" vertical="center" wrapText="1"/>
    </xf>
    <xf numFmtId="0" fontId="45" fillId="11" borderId="16" xfId="0" applyNumberFormat="1" applyFont="1" applyFill="1" applyBorder="1" applyAlignment="1" applyProtection="1">
      <alignment horizontal="center" vertical="center" wrapText="1"/>
    </xf>
    <xf numFmtId="0" fontId="45" fillId="11" borderId="17" xfId="0" applyNumberFormat="1" applyFont="1" applyFill="1" applyBorder="1" applyAlignment="1" applyProtection="1">
      <alignment horizontal="center" vertical="center" wrapText="1"/>
    </xf>
    <xf numFmtId="0" fontId="4" fillId="5" borderId="69" xfId="0" applyFont="1" applyFill="1" applyBorder="1" applyAlignment="1" applyProtection="1">
      <alignment horizontal="center" vertical="center" wrapText="1"/>
    </xf>
    <xf numFmtId="0" fontId="11" fillId="5" borderId="22" xfId="0" applyFont="1" applyFill="1" applyBorder="1" applyAlignment="1" applyProtection="1">
      <alignment horizontal="center" vertical="center" wrapText="1"/>
    </xf>
    <xf numFmtId="0" fontId="11" fillId="5" borderId="23" xfId="0" applyFont="1" applyFill="1" applyBorder="1" applyAlignment="1" applyProtection="1">
      <alignment horizontal="center" vertical="center" wrapText="1"/>
    </xf>
    <xf numFmtId="0" fontId="11" fillId="5" borderId="21" xfId="0" applyFont="1" applyFill="1" applyBorder="1" applyAlignment="1" applyProtection="1">
      <alignment horizontal="center" vertical="center" wrapText="1"/>
    </xf>
    <xf numFmtId="0" fontId="11" fillId="5" borderId="44" xfId="0" applyFont="1" applyFill="1" applyBorder="1" applyAlignment="1" applyProtection="1">
      <alignment horizontal="center" vertical="center" wrapText="1"/>
    </xf>
    <xf numFmtId="0" fontId="11" fillId="5" borderId="29" xfId="0" applyFont="1" applyFill="1" applyBorder="1" applyAlignment="1" applyProtection="1">
      <alignment horizontal="center" vertical="center" wrapText="1"/>
    </xf>
    <xf numFmtId="0" fontId="11" fillId="0" borderId="55" xfId="0" applyFont="1" applyFill="1" applyBorder="1" applyAlignment="1" applyProtection="1">
      <alignment horizontal="center" vertical="center" wrapText="1"/>
    </xf>
    <xf numFmtId="0" fontId="11" fillId="5" borderId="32" xfId="0" applyFont="1" applyFill="1" applyBorder="1" applyAlignment="1" applyProtection="1">
      <alignment horizontal="center" vertical="center" wrapText="1"/>
    </xf>
    <xf numFmtId="0" fontId="11" fillId="5" borderId="33" xfId="0" applyFont="1" applyFill="1" applyBorder="1" applyAlignment="1" applyProtection="1">
      <alignment horizontal="center" vertical="center" wrapText="1"/>
    </xf>
    <xf numFmtId="0" fontId="11" fillId="5" borderId="34" xfId="0" applyFont="1" applyFill="1" applyBorder="1" applyAlignment="1" applyProtection="1">
      <alignment horizontal="center" vertical="center" wrapText="1"/>
    </xf>
    <xf numFmtId="0" fontId="11" fillId="5" borderId="70" xfId="0" applyFont="1" applyFill="1" applyBorder="1" applyAlignment="1" applyProtection="1">
      <alignment horizontal="center" vertical="center" wrapText="1"/>
    </xf>
    <xf numFmtId="0" fontId="11" fillId="5" borderId="55" xfId="0" applyFont="1" applyFill="1" applyBorder="1" applyAlignment="1" applyProtection="1">
      <alignment horizontal="center" vertical="center" wrapText="1"/>
    </xf>
    <xf numFmtId="0" fontId="11" fillId="0" borderId="14" xfId="0" applyFont="1" applyFill="1" applyBorder="1" applyAlignment="1" applyProtection="1">
      <alignment horizontal="center" vertical="center" wrapText="1"/>
    </xf>
    <xf numFmtId="0" fontId="11" fillId="5" borderId="3" xfId="0" applyFont="1" applyFill="1" applyBorder="1" applyAlignment="1" applyProtection="1">
      <alignment horizontal="center" vertical="center" wrapText="1"/>
    </xf>
    <xf numFmtId="0" fontId="11" fillId="5" borderId="6" xfId="0" applyFont="1" applyFill="1" applyBorder="1" applyAlignment="1" applyProtection="1">
      <alignment horizontal="center" vertical="center" wrapText="1"/>
    </xf>
    <xf numFmtId="0" fontId="11" fillId="5" borderId="27" xfId="0" applyFont="1" applyFill="1" applyBorder="1" applyAlignment="1" applyProtection="1">
      <alignment horizontal="center" vertical="center" wrapText="1"/>
    </xf>
    <xf numFmtId="0" fontId="11" fillId="5" borderId="71" xfId="0" applyFont="1" applyFill="1" applyBorder="1" applyAlignment="1" applyProtection="1">
      <alignment horizontal="center" vertical="center" wrapText="1"/>
    </xf>
    <xf numFmtId="0" fontId="11" fillId="5" borderId="14" xfId="0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</xf>
    <xf numFmtId="0" fontId="11" fillId="5" borderId="7" xfId="0" applyFont="1" applyFill="1" applyBorder="1" applyAlignment="1" applyProtection="1">
      <alignment horizontal="center" vertical="center" wrapText="1"/>
    </xf>
    <xf numFmtId="0" fontId="11" fillId="5" borderId="8" xfId="0" applyFont="1" applyFill="1" applyBorder="1" applyAlignment="1" applyProtection="1">
      <alignment horizontal="center" vertical="center" wrapText="1"/>
    </xf>
    <xf numFmtId="0" fontId="11" fillId="5" borderId="28" xfId="0" applyFont="1" applyFill="1" applyBorder="1" applyAlignment="1" applyProtection="1">
      <alignment horizontal="center" vertical="center" wrapText="1"/>
    </xf>
    <xf numFmtId="0" fontId="11" fillId="5" borderId="72" xfId="0" applyFont="1" applyFill="1" applyBorder="1" applyAlignment="1" applyProtection="1">
      <alignment horizontal="center" vertical="center" wrapText="1"/>
    </xf>
    <xf numFmtId="0" fontId="11" fillId="5" borderId="15" xfId="0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wrapText="1"/>
    </xf>
    <xf numFmtId="0" fontId="55" fillId="0" borderId="0" xfId="0" applyFont="1" applyProtection="1"/>
    <xf numFmtId="0" fontId="38" fillId="0" borderId="3" xfId="0" applyFont="1" applyBorder="1" applyAlignment="1" applyProtection="1">
      <alignment horizontal="center" vertical="center" wrapText="1"/>
    </xf>
    <xf numFmtId="0" fontId="46" fillId="11" borderId="4" xfId="0" applyFont="1" applyFill="1" applyBorder="1" applyAlignment="1">
      <alignment horizontal="center" vertical="center"/>
    </xf>
    <xf numFmtId="0" fontId="38" fillId="0" borderId="0" xfId="0" applyFont="1" applyAlignment="1"/>
    <xf numFmtId="0" fontId="45" fillId="0" borderId="0" xfId="0" applyFont="1" applyAlignment="1"/>
    <xf numFmtId="0" fontId="38" fillId="9" borderId="41" xfId="0" applyNumberFormat="1" applyFont="1" applyFill="1" applyBorder="1" applyAlignment="1" applyProtection="1">
      <alignment horizontal="center" vertical="center" wrapText="1"/>
      <protection locked="0"/>
    </xf>
    <xf numFmtId="0" fontId="38" fillId="9" borderId="42" xfId="0" applyNumberFormat="1" applyFont="1" applyFill="1" applyBorder="1" applyAlignment="1" applyProtection="1">
      <alignment horizontal="center" vertical="center" wrapText="1"/>
      <protection locked="0"/>
    </xf>
    <xf numFmtId="1" fontId="5" fillId="13" borderId="29" xfId="0" applyNumberFormat="1" applyFont="1" applyFill="1" applyBorder="1" applyAlignment="1">
      <alignment horizontal="center" vertical="center"/>
    </xf>
    <xf numFmtId="1" fontId="5" fillId="13" borderId="23" xfId="0" applyNumberFormat="1" applyFont="1" applyFill="1" applyBorder="1" applyAlignment="1">
      <alignment horizontal="center" vertical="center"/>
    </xf>
    <xf numFmtId="0" fontId="5" fillId="18" borderId="7" xfId="0" applyFont="1" applyFill="1" applyBorder="1" applyAlignment="1">
      <alignment horizontal="center" vertical="center" wrapText="1"/>
    </xf>
    <xf numFmtId="0" fontId="6" fillId="18" borderId="7" xfId="0" applyFont="1" applyFill="1" applyBorder="1" applyAlignment="1">
      <alignment horizontal="center" vertical="center" wrapText="1"/>
    </xf>
    <xf numFmtId="1" fontId="5" fillId="0" borderId="58" xfId="0" applyNumberFormat="1" applyFont="1" applyBorder="1" applyAlignment="1">
      <alignment horizontal="left" vertical="center" wrapText="1"/>
    </xf>
    <xf numFmtId="0" fontId="5" fillId="0" borderId="73" xfId="0" applyFont="1" applyFill="1" applyBorder="1" applyAlignment="1">
      <alignment horizontal="left" vertical="center" wrapText="1"/>
    </xf>
    <xf numFmtId="0" fontId="5" fillId="0" borderId="74" xfId="0" applyFont="1" applyFill="1" applyBorder="1" applyAlignment="1">
      <alignment horizontal="left" vertical="center" wrapText="1"/>
    </xf>
    <xf numFmtId="0" fontId="5" fillId="0" borderId="57" xfId="0" applyFont="1" applyFill="1" applyBorder="1" applyAlignment="1">
      <alignment horizontal="left" vertical="center" wrapText="1"/>
    </xf>
    <xf numFmtId="16" fontId="0" fillId="0" borderId="0" xfId="0" applyNumberFormat="1"/>
    <xf numFmtId="0" fontId="38" fillId="19" borderId="22" xfId="0" applyNumberFormat="1" applyFont="1" applyFill="1" applyBorder="1" applyAlignment="1" applyProtection="1">
      <alignment horizontal="center" vertical="center" wrapText="1"/>
      <protection locked="0"/>
    </xf>
    <xf numFmtId="0" fontId="38" fillId="19" borderId="23" xfId="0" applyNumberFormat="1" applyFont="1" applyFill="1" applyBorder="1" applyAlignment="1" applyProtection="1">
      <alignment horizontal="center" vertical="center" wrapText="1"/>
      <protection locked="0"/>
    </xf>
    <xf numFmtId="0" fontId="38" fillId="19" borderId="29" xfId="0" applyNumberFormat="1" applyFont="1" applyFill="1" applyBorder="1" applyAlignment="1" applyProtection="1">
      <alignment horizontal="center" vertical="center" wrapText="1"/>
      <protection locked="0"/>
    </xf>
    <xf numFmtId="0" fontId="57" fillId="19" borderId="19" xfId="0" applyFont="1" applyFill="1" applyBorder="1" applyAlignment="1">
      <alignment horizontal="left" vertical="center" wrapText="1"/>
    </xf>
    <xf numFmtId="0" fontId="60" fillId="0" borderId="0" xfId="0" applyFont="1" applyFill="1"/>
    <xf numFmtId="0" fontId="5" fillId="0" borderId="46" xfId="0" applyFont="1" applyBorder="1" applyAlignment="1">
      <alignment horizontal="center" vertical="center" wrapText="1"/>
    </xf>
    <xf numFmtId="0" fontId="63" fillId="0" borderId="37" xfId="0" applyFont="1" applyBorder="1" applyAlignment="1">
      <alignment horizontal="center" vertical="center"/>
    </xf>
    <xf numFmtId="0" fontId="63" fillId="0" borderId="35" xfId="0" applyFont="1" applyBorder="1" applyAlignment="1">
      <alignment horizontal="center" vertical="center" wrapText="1"/>
    </xf>
    <xf numFmtId="0" fontId="63" fillId="16" borderId="36" xfId="0" applyFont="1" applyFill="1" applyBorder="1" applyAlignment="1">
      <alignment horizontal="center" vertical="center" wrapText="1"/>
    </xf>
    <xf numFmtId="0" fontId="63" fillId="0" borderId="39" xfId="0" applyFont="1" applyBorder="1" applyAlignment="1">
      <alignment horizontal="center" vertical="center" wrapText="1"/>
    </xf>
    <xf numFmtId="0" fontId="42" fillId="0" borderId="0" xfId="0" applyFont="1" applyFill="1" applyAlignment="1">
      <alignment horizontal="center"/>
    </xf>
    <xf numFmtId="0" fontId="62" fillId="0" borderId="0" xfId="0" applyFont="1" applyBorder="1" applyAlignment="1"/>
    <xf numFmtId="0" fontId="66" fillId="0" borderId="0" xfId="0" applyFont="1"/>
    <xf numFmtId="0" fontId="35" fillId="0" borderId="0" xfId="0" applyFont="1"/>
    <xf numFmtId="0" fontId="35" fillId="0" borderId="0" xfId="0" applyFont="1" applyAlignment="1"/>
    <xf numFmtId="0" fontId="67" fillId="0" borderId="0" xfId="0" applyFont="1"/>
    <xf numFmtId="1" fontId="61" fillId="0" borderId="20" xfId="0" applyNumberFormat="1" applyFont="1" applyBorder="1" applyAlignment="1">
      <alignment horizontal="center" vertical="center" wrapText="1"/>
    </xf>
    <xf numFmtId="0" fontId="10" fillId="8" borderId="0" xfId="0" applyFont="1" applyFill="1" applyAlignment="1">
      <alignment horizontal="center" vertical="center" wrapText="1"/>
    </xf>
    <xf numFmtId="164" fontId="0" fillId="0" borderId="0" xfId="0" applyNumberFormat="1" applyFill="1" applyAlignment="1" applyProtection="1">
      <alignment wrapText="1"/>
      <protection hidden="1"/>
    </xf>
    <xf numFmtId="165" fontId="38" fillId="7" borderId="43" xfId="0" applyNumberFormat="1" applyFont="1" applyFill="1" applyBorder="1" applyAlignment="1" applyProtection="1">
      <alignment horizontal="center" vertical="center"/>
    </xf>
    <xf numFmtId="165" fontId="38" fillId="7" borderId="11" xfId="0" applyNumberFormat="1" applyFont="1" applyFill="1" applyBorder="1" applyAlignment="1" applyProtection="1">
      <alignment horizontal="center" vertical="center"/>
    </xf>
    <xf numFmtId="165" fontId="38" fillId="7" borderId="12" xfId="0" applyNumberFormat="1" applyFont="1" applyFill="1" applyBorder="1" applyAlignment="1" applyProtection="1">
      <alignment horizontal="center" vertical="center"/>
    </xf>
    <xf numFmtId="0" fontId="35" fillId="0" borderId="31" xfId="0" applyFont="1" applyFill="1" applyBorder="1" applyAlignment="1" applyProtection="1">
      <alignment horizontal="center" vertical="center"/>
      <protection locked="0"/>
    </xf>
    <xf numFmtId="0" fontId="35" fillId="0" borderId="19" xfId="0" applyFont="1" applyFill="1" applyBorder="1" applyAlignment="1" applyProtection="1">
      <alignment horizontal="center" vertical="center"/>
      <protection locked="0"/>
    </xf>
    <xf numFmtId="0" fontId="41" fillId="0" borderId="19" xfId="0" applyFont="1" applyFill="1" applyBorder="1" applyAlignment="1" applyProtection="1">
      <alignment horizontal="center" vertical="center"/>
      <protection locked="0"/>
    </xf>
    <xf numFmtId="0" fontId="35" fillId="0" borderId="19" xfId="0" applyFont="1" applyFill="1" applyBorder="1" applyAlignment="1" applyProtection="1">
      <alignment horizontal="center" vertical="center"/>
      <protection locked="0"/>
    </xf>
    <xf numFmtId="0" fontId="35" fillId="0" borderId="19" xfId="0" applyFont="1" applyFill="1" applyBorder="1" applyAlignment="1" applyProtection="1">
      <alignment horizontal="center" vertical="center"/>
      <protection locked="0"/>
    </xf>
    <xf numFmtId="0" fontId="41" fillId="0" borderId="19" xfId="0" applyFont="1" applyFill="1" applyBorder="1" applyAlignment="1" applyProtection="1">
      <alignment horizontal="center" vertical="center"/>
      <protection locked="0"/>
    </xf>
    <xf numFmtId="0" fontId="35" fillId="0" borderId="19" xfId="0" applyFont="1" applyFill="1" applyBorder="1" applyAlignment="1" applyProtection="1">
      <alignment horizontal="center" vertical="center"/>
      <protection locked="0"/>
    </xf>
    <xf numFmtId="0" fontId="41" fillId="0" borderId="19" xfId="0" applyFont="1" applyFill="1" applyBorder="1" applyAlignment="1" applyProtection="1">
      <alignment horizontal="center" vertical="center"/>
      <protection locked="0"/>
    </xf>
    <xf numFmtId="0" fontId="35" fillId="0" borderId="19" xfId="0" applyFont="1" applyFill="1" applyBorder="1" applyAlignment="1" applyProtection="1">
      <alignment horizontal="center" vertical="center"/>
      <protection locked="0"/>
    </xf>
    <xf numFmtId="0" fontId="35" fillId="0" borderId="19" xfId="0" applyFont="1" applyFill="1" applyBorder="1" applyAlignment="1" applyProtection="1">
      <alignment horizontal="center" vertical="center"/>
      <protection locked="0"/>
    </xf>
    <xf numFmtId="0" fontId="35" fillId="0" borderId="19" xfId="0" applyFont="1" applyFill="1" applyBorder="1" applyAlignment="1" applyProtection="1">
      <alignment horizontal="center" vertical="center"/>
      <protection locked="0"/>
    </xf>
    <xf numFmtId="0" fontId="35" fillId="0" borderId="2" xfId="0" applyFont="1" applyFill="1" applyBorder="1" applyAlignment="1" applyProtection="1">
      <alignment horizontal="center" vertical="center"/>
      <protection locked="0"/>
    </xf>
    <xf numFmtId="0" fontId="38" fillId="9" borderId="3" xfId="0" applyNumberFormat="1" applyFont="1" applyFill="1" applyBorder="1" applyAlignment="1" applyProtection="1">
      <alignment horizontal="center" vertical="center" wrapText="1"/>
      <protection locked="0"/>
    </xf>
    <xf numFmtId="0" fontId="38" fillId="9" borderId="7" xfId="0" applyNumberFormat="1" applyFont="1" applyFill="1" applyBorder="1" applyAlignment="1" applyProtection="1">
      <alignment horizontal="center" vertical="center" wrapText="1"/>
      <protection locked="0"/>
    </xf>
    <xf numFmtId="0" fontId="38" fillId="9" borderId="6" xfId="0" applyNumberFormat="1" applyFont="1" applyFill="1" applyBorder="1" applyAlignment="1" applyProtection="1">
      <alignment horizontal="center" vertical="center" wrapText="1"/>
      <protection locked="0"/>
    </xf>
    <xf numFmtId="0" fontId="38" fillId="9" borderId="8" xfId="0" applyNumberFormat="1" applyFont="1" applyFill="1" applyBorder="1" applyAlignment="1" applyProtection="1">
      <alignment horizontal="center" vertical="center" wrapText="1"/>
      <protection locked="0"/>
    </xf>
    <xf numFmtId="0" fontId="45" fillId="9" borderId="3" xfId="0" applyNumberFormat="1" applyFont="1" applyFill="1" applyBorder="1" applyAlignment="1" applyProtection="1">
      <alignment horizontal="center" vertical="center" wrapText="1"/>
      <protection locked="0"/>
    </xf>
    <xf numFmtId="0" fontId="45" fillId="9" borderId="7" xfId="0" applyNumberFormat="1" applyFont="1" applyFill="1" applyBorder="1" applyAlignment="1" applyProtection="1">
      <alignment horizontal="center" vertical="center" wrapText="1"/>
      <protection locked="0"/>
    </xf>
    <xf numFmtId="0" fontId="45" fillId="9" borderId="32" xfId="0" applyNumberFormat="1" applyFont="1" applyFill="1" applyBorder="1" applyAlignment="1" applyProtection="1">
      <alignment horizontal="center" vertical="center" wrapText="1"/>
      <protection locked="0"/>
    </xf>
    <xf numFmtId="0" fontId="38" fillId="9" borderId="32" xfId="0" applyNumberFormat="1" applyFont="1" applyFill="1" applyBorder="1" applyAlignment="1" applyProtection="1">
      <alignment horizontal="center" vertical="center" wrapText="1"/>
      <protection locked="0"/>
    </xf>
    <xf numFmtId="0" fontId="38" fillId="9" borderId="33" xfId="0" applyNumberFormat="1" applyFont="1" applyFill="1" applyBorder="1" applyAlignment="1" applyProtection="1">
      <alignment horizontal="center" vertical="center" wrapText="1"/>
      <protection locked="0"/>
    </xf>
    <xf numFmtId="0" fontId="45" fillId="9" borderId="34" xfId="0" applyNumberFormat="1" applyFont="1" applyFill="1" applyBorder="1" applyAlignment="1" applyProtection="1">
      <alignment horizontal="center" vertical="center" wrapText="1"/>
      <protection locked="0"/>
    </xf>
    <xf numFmtId="0" fontId="45" fillId="9" borderId="27" xfId="0" applyNumberFormat="1" applyFont="1" applyFill="1" applyBorder="1" applyAlignment="1" applyProtection="1">
      <alignment horizontal="center" vertical="center" wrapText="1"/>
      <protection locked="0"/>
    </xf>
    <xf numFmtId="0" fontId="38" fillId="9" borderId="3" xfId="0" applyNumberFormat="1" applyFont="1" applyFill="1" applyBorder="1" applyAlignment="1" applyProtection="1">
      <alignment horizontal="center" vertical="center" wrapText="1"/>
      <protection locked="0"/>
    </xf>
    <xf numFmtId="0" fontId="38" fillId="9" borderId="27" xfId="0" applyNumberFormat="1" applyFont="1" applyFill="1" applyBorder="1" applyAlignment="1" applyProtection="1">
      <alignment horizontal="center" vertical="center" wrapText="1"/>
      <protection locked="0"/>
    </xf>
    <xf numFmtId="0" fontId="38" fillId="9" borderId="28" xfId="0" applyNumberFormat="1" applyFont="1" applyFill="1" applyBorder="1" applyAlignment="1" applyProtection="1">
      <alignment horizontal="center" vertical="center" wrapText="1"/>
      <protection locked="0"/>
    </xf>
    <xf numFmtId="0" fontId="38" fillId="9" borderId="7" xfId="0" applyNumberFormat="1" applyFont="1" applyFill="1" applyBorder="1" applyAlignment="1" applyProtection="1">
      <alignment horizontal="center" vertical="center" wrapText="1"/>
      <protection locked="0"/>
    </xf>
    <xf numFmtId="0" fontId="38" fillId="9" borderId="32" xfId="0" applyNumberFormat="1" applyFont="1" applyFill="1" applyBorder="1" applyAlignment="1" applyProtection="1">
      <alignment horizontal="center" vertical="center" wrapText="1"/>
      <protection locked="0"/>
    </xf>
    <xf numFmtId="0" fontId="38" fillId="9" borderId="34" xfId="0" applyNumberFormat="1" applyFont="1" applyFill="1" applyBorder="1" applyAlignment="1" applyProtection="1">
      <alignment horizontal="center" vertical="center" wrapText="1"/>
      <protection locked="0"/>
    </xf>
    <xf numFmtId="0" fontId="38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38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38" fillId="11" borderId="21" xfId="0" applyNumberFormat="1" applyFont="1" applyFill="1" applyBorder="1" applyAlignment="1" applyProtection="1">
      <alignment horizontal="center" vertical="center" wrapText="1"/>
      <protection locked="0"/>
    </xf>
    <xf numFmtId="0" fontId="38" fillId="11" borderId="22" xfId="0" applyNumberFormat="1" applyFont="1" applyFill="1" applyBorder="1" applyAlignment="1" applyProtection="1">
      <alignment horizontal="center" vertical="center" wrapText="1"/>
      <protection locked="0"/>
    </xf>
    <xf numFmtId="0" fontId="38" fillId="11" borderId="23" xfId="0" applyNumberFormat="1" applyFont="1" applyFill="1" applyBorder="1" applyAlignment="1" applyProtection="1">
      <alignment horizontal="center" vertical="center" wrapText="1"/>
      <protection locked="0"/>
    </xf>
    <xf numFmtId="0" fontId="38" fillId="11" borderId="70" xfId="0" applyNumberFormat="1" applyFont="1" applyFill="1" applyBorder="1" applyAlignment="1" applyProtection="1">
      <alignment horizontal="center" vertical="center" wrapText="1"/>
      <protection locked="0"/>
    </xf>
    <xf numFmtId="0" fontId="38" fillId="11" borderId="71" xfId="0" applyNumberFormat="1" applyFont="1" applyFill="1" applyBorder="1" applyAlignment="1" applyProtection="1">
      <alignment horizontal="center" vertical="center" wrapText="1"/>
      <protection locked="0"/>
    </xf>
    <xf numFmtId="0" fontId="38" fillId="11" borderId="72" xfId="0" applyNumberFormat="1" applyFont="1" applyFill="1" applyBorder="1" applyAlignment="1" applyProtection="1">
      <alignment horizontal="center" vertical="center" wrapText="1"/>
      <protection locked="0"/>
    </xf>
    <xf numFmtId="0" fontId="38" fillId="11" borderId="55" xfId="0" applyNumberFormat="1" applyFont="1" applyFill="1" applyBorder="1" applyAlignment="1" applyProtection="1">
      <alignment horizontal="center" vertical="center" wrapText="1"/>
      <protection locked="0"/>
    </xf>
    <xf numFmtId="0" fontId="38" fillId="11" borderId="14" xfId="0" applyNumberFormat="1" applyFont="1" applyFill="1" applyBorder="1" applyAlignment="1" applyProtection="1">
      <alignment horizontal="center" vertical="center" wrapText="1"/>
      <protection locked="0"/>
    </xf>
    <xf numFmtId="0" fontId="38" fillId="11" borderId="15" xfId="0" applyNumberFormat="1" applyFont="1" applyFill="1" applyBorder="1" applyAlignment="1" applyProtection="1">
      <alignment horizontal="center" vertical="center" wrapText="1"/>
      <protection locked="0"/>
    </xf>
    <xf numFmtId="1" fontId="64" fillId="14" borderId="31" xfId="0" applyNumberFormat="1" applyFont="1" applyFill="1" applyBorder="1" applyAlignment="1">
      <alignment horizontal="left" vertical="center" wrapText="1"/>
    </xf>
    <xf numFmtId="0" fontId="38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38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38" fillId="11" borderId="26" xfId="0" applyNumberFormat="1" applyFont="1" applyFill="1" applyBorder="1" applyAlignment="1" applyProtection="1">
      <alignment horizontal="center" vertical="center" wrapText="1"/>
      <protection locked="0"/>
    </xf>
    <xf numFmtId="0" fontId="38" fillId="11" borderId="2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" fontId="7" fillId="0" borderId="22" xfId="0" applyNumberFormat="1" applyFont="1" applyFill="1" applyBorder="1" applyAlignment="1">
      <alignment horizontal="center" vertical="center"/>
    </xf>
    <xf numFmtId="1" fontId="64" fillId="5" borderId="19" xfId="0" applyNumberFormat="1" applyFont="1" applyFill="1" applyBorder="1" applyAlignment="1">
      <alignment horizontal="left" vertical="center" wrapText="1"/>
    </xf>
    <xf numFmtId="0" fontId="41" fillId="0" borderId="0" xfId="0" applyFont="1" applyAlignment="1"/>
    <xf numFmtId="1" fontId="7" fillId="0" borderId="21" xfId="0" applyNumberFormat="1" applyFont="1" applyFill="1" applyBorder="1" applyAlignment="1">
      <alignment horizontal="center" vertical="center"/>
    </xf>
    <xf numFmtId="0" fontId="38" fillId="11" borderId="48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22" xfId="0" applyNumberFormat="1" applyFont="1" applyFill="1" applyBorder="1" applyAlignment="1" applyProtection="1">
      <alignment horizontal="center" vertical="center"/>
      <protection locked="0"/>
    </xf>
    <xf numFmtId="1" fontId="7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7" fillId="5" borderId="22" xfId="0" applyNumberFormat="1" applyFont="1" applyFill="1" applyBorder="1" applyAlignment="1" applyProtection="1">
      <alignment horizontal="center" vertical="center"/>
      <protection locked="0"/>
    </xf>
    <xf numFmtId="1" fontId="7" fillId="5" borderId="22" xfId="0" applyNumberFormat="1" applyFont="1" applyFill="1" applyBorder="1" applyAlignment="1" applyProtection="1">
      <alignment horizontal="center" vertical="center" wrapText="1"/>
      <protection locked="0"/>
    </xf>
    <xf numFmtId="1" fontId="7" fillId="5" borderId="44" xfId="0" applyNumberFormat="1" applyFont="1" applyFill="1" applyBorder="1" applyAlignment="1" applyProtection="1">
      <alignment horizontal="center" vertical="center"/>
      <protection locked="0"/>
    </xf>
    <xf numFmtId="0" fontId="67" fillId="20" borderId="71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53" fillId="0" borderId="0" xfId="0" applyFont="1" applyBorder="1" applyAlignment="1">
      <alignment vertical="center" wrapText="1"/>
    </xf>
    <xf numFmtId="1" fontId="16" fillId="0" borderId="37" xfId="0" applyNumberFormat="1" applyFont="1" applyFill="1" applyBorder="1" applyAlignment="1">
      <alignment horizontal="center" vertical="center"/>
    </xf>
    <xf numFmtId="1" fontId="16" fillId="18" borderId="37" xfId="0" applyNumberFormat="1" applyFont="1" applyFill="1" applyBorder="1" applyAlignment="1">
      <alignment horizontal="center" vertical="center"/>
    </xf>
    <xf numFmtId="1" fontId="58" fillId="13" borderId="21" xfId="0" applyNumberFormat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wrapText="1"/>
    </xf>
    <xf numFmtId="1" fontId="5" fillId="0" borderId="37" xfId="0" applyNumberFormat="1" applyFont="1" applyFill="1" applyBorder="1" applyAlignment="1">
      <alignment horizontal="center" vertical="center"/>
    </xf>
    <xf numFmtId="1" fontId="5" fillId="11" borderId="37" xfId="0" applyNumberFormat="1" applyFont="1" applyFill="1" applyBorder="1" applyAlignment="1">
      <alignment horizontal="center" vertical="center"/>
    </xf>
    <xf numFmtId="0" fontId="45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45" fillId="0" borderId="46" xfId="0" applyNumberFormat="1" applyFont="1" applyFill="1" applyBorder="1" applyAlignment="1" applyProtection="1">
      <alignment horizontal="center" vertical="center" wrapText="1"/>
      <protection locked="0"/>
    </xf>
    <xf numFmtId="0" fontId="45" fillId="9" borderId="28" xfId="0" applyNumberFormat="1" applyFont="1" applyFill="1" applyBorder="1" applyAlignment="1" applyProtection="1">
      <alignment horizontal="center" vertical="center" wrapText="1"/>
    </xf>
    <xf numFmtId="0" fontId="59" fillId="19" borderId="21" xfId="0" applyNumberFormat="1" applyFont="1" applyFill="1" applyBorder="1" applyAlignment="1" applyProtection="1">
      <alignment horizontal="center" vertical="center" wrapText="1"/>
    </xf>
    <xf numFmtId="0" fontId="45" fillId="19" borderId="22" xfId="0" applyNumberFormat="1" applyFont="1" applyFill="1" applyBorder="1" applyAlignment="1" applyProtection="1">
      <alignment horizontal="center" vertical="center" wrapText="1"/>
    </xf>
    <xf numFmtId="0" fontId="45" fillId="6" borderId="19" xfId="0" applyFont="1" applyFill="1" applyBorder="1" applyAlignment="1" applyProtection="1">
      <alignment horizontal="center" vertical="center" wrapText="1"/>
    </xf>
    <xf numFmtId="0" fontId="38" fillId="0" borderId="29" xfId="0" applyFont="1" applyFill="1" applyBorder="1" applyAlignment="1" applyProtection="1">
      <alignment horizontal="center" vertical="center" wrapText="1"/>
      <protection locked="0"/>
    </xf>
    <xf numFmtId="0" fontId="38" fillId="6" borderId="22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23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21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44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29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69" xfId="0" applyFont="1" applyFill="1" applyBorder="1" applyAlignment="1" applyProtection="1">
      <alignment horizontal="center" vertical="center" wrapText="1"/>
    </xf>
    <xf numFmtId="0" fontId="45" fillId="6" borderId="16" xfId="0" applyFont="1" applyFill="1" applyBorder="1" applyAlignment="1" applyProtection="1">
      <alignment horizontal="center" vertical="center" wrapText="1"/>
    </xf>
    <xf numFmtId="0" fontId="45" fillId="6" borderId="17" xfId="0" applyFont="1" applyFill="1" applyBorder="1" applyAlignment="1" applyProtection="1">
      <alignment horizontal="center" vertical="center" wrapText="1"/>
    </xf>
    <xf numFmtId="0" fontId="45" fillId="11" borderId="19" xfId="0" applyFont="1" applyFill="1" applyBorder="1" applyAlignment="1" applyProtection="1">
      <alignment horizontal="center" vertical="center" wrapText="1"/>
    </xf>
    <xf numFmtId="0" fontId="38" fillId="11" borderId="44" xfId="0" applyNumberFormat="1" applyFont="1" applyFill="1" applyBorder="1" applyAlignment="1" applyProtection="1">
      <alignment horizontal="center" vertical="center" wrapText="1"/>
      <protection locked="0"/>
    </xf>
    <xf numFmtId="0" fontId="38" fillId="11" borderId="29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9" xfId="0" applyFont="1" applyFill="1" applyBorder="1" applyAlignment="1" applyProtection="1">
      <alignment horizontal="center" vertical="center" wrapText="1"/>
    </xf>
    <xf numFmtId="0" fontId="45" fillId="0" borderId="21" xfId="0" applyNumberFormat="1" applyFont="1" applyFill="1" applyBorder="1" applyAlignment="1" applyProtection="1">
      <alignment horizontal="center" vertical="center" wrapText="1"/>
    </xf>
    <xf numFmtId="0" fontId="46" fillId="11" borderId="2" xfId="0" applyFont="1" applyFill="1" applyBorder="1" applyAlignment="1" applyProtection="1">
      <alignment horizontal="center" vertical="center" wrapText="1"/>
    </xf>
    <xf numFmtId="0" fontId="46" fillId="11" borderId="58" xfId="0" applyFont="1" applyFill="1" applyBorder="1" applyAlignment="1" applyProtection="1">
      <alignment horizontal="center" vertical="center" wrapText="1"/>
    </xf>
    <xf numFmtId="0" fontId="46" fillId="11" borderId="20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6" borderId="20" xfId="0" applyFont="1" applyFill="1" applyBorder="1" applyAlignment="1" applyProtection="1">
      <alignment horizontal="center" vertical="center" wrapText="1"/>
    </xf>
    <xf numFmtId="0" fontId="5" fillId="6" borderId="58" xfId="0" applyFont="1" applyFill="1" applyBorder="1" applyAlignment="1" applyProtection="1">
      <alignment horizontal="center" vertical="center" wrapText="1"/>
    </xf>
    <xf numFmtId="0" fontId="41" fillId="15" borderId="18" xfId="0" applyFont="1" applyFill="1" applyBorder="1" applyAlignment="1" applyProtection="1">
      <alignment horizontal="center" vertical="center" wrapText="1"/>
    </xf>
    <xf numFmtId="0" fontId="41" fillId="15" borderId="50" xfId="0" applyFont="1" applyFill="1" applyBorder="1" applyAlignment="1" applyProtection="1">
      <alignment horizontal="center" vertical="center" wrapText="1"/>
    </xf>
    <xf numFmtId="0" fontId="46" fillId="15" borderId="2" xfId="0" applyFont="1" applyFill="1" applyBorder="1" applyAlignment="1" applyProtection="1">
      <alignment horizontal="center" vertical="center" wrapText="1"/>
    </xf>
    <xf numFmtId="0" fontId="46" fillId="15" borderId="58" xfId="0" applyFont="1" applyFill="1" applyBorder="1" applyAlignment="1" applyProtection="1">
      <alignment horizontal="center" vertical="center" wrapText="1"/>
    </xf>
    <xf numFmtId="0" fontId="41" fillId="6" borderId="43" xfId="0" applyFont="1" applyFill="1" applyBorder="1" applyAlignment="1" applyProtection="1">
      <alignment horizontal="center" vertical="center" wrapText="1"/>
    </xf>
    <xf numFmtId="0" fontId="41" fillId="6" borderId="12" xfId="0" applyFont="1" applyFill="1" applyBorder="1" applyAlignment="1" applyProtection="1">
      <alignment horizontal="center" vertical="center" wrapText="1"/>
    </xf>
    <xf numFmtId="0" fontId="5" fillId="6" borderId="61" xfId="0" applyFont="1" applyFill="1" applyBorder="1" applyAlignment="1" applyProtection="1">
      <alignment horizontal="center" vertical="center" wrapText="1"/>
    </xf>
    <xf numFmtId="0" fontId="5" fillId="6" borderId="62" xfId="0" applyFont="1" applyFill="1" applyBorder="1" applyAlignment="1" applyProtection="1">
      <alignment horizontal="center" vertical="center" wrapText="1"/>
    </xf>
    <xf numFmtId="0" fontId="5" fillId="6" borderId="63" xfId="0" applyFont="1" applyFill="1" applyBorder="1" applyAlignment="1" applyProtection="1">
      <alignment horizontal="center" vertical="center" wrapText="1"/>
    </xf>
    <xf numFmtId="0" fontId="35" fillId="0" borderId="30" xfId="0" applyFont="1" applyFill="1" applyBorder="1" applyAlignment="1" applyProtection="1">
      <alignment horizontal="center" vertical="center" wrapText="1"/>
    </xf>
    <xf numFmtId="0" fontId="35" fillId="0" borderId="31" xfId="0" applyFont="1" applyFill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right"/>
    </xf>
    <xf numFmtId="0" fontId="14" fillId="13" borderId="3" xfId="0" applyFont="1" applyFill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 vertical="center" wrapText="1"/>
    </xf>
    <xf numFmtId="0" fontId="36" fillId="0" borderId="59" xfId="0" applyFont="1" applyBorder="1" applyAlignment="1" applyProtection="1">
      <alignment horizontal="left" wrapText="1"/>
    </xf>
    <xf numFmtId="49" fontId="6" fillId="21" borderId="3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56" xfId="0" applyFont="1" applyFill="1" applyBorder="1" applyAlignment="1" applyProtection="1">
      <alignment horizontal="center" vertical="center" wrapText="1"/>
    </xf>
    <xf numFmtId="0" fontId="35" fillId="0" borderId="57" xfId="0" applyFont="1" applyFill="1" applyBorder="1" applyAlignment="1" applyProtection="1">
      <alignment horizontal="center" vertical="center" wrapText="1"/>
    </xf>
    <xf numFmtId="0" fontId="41" fillId="12" borderId="18" xfId="0" applyFont="1" applyFill="1" applyBorder="1" applyAlignment="1" applyProtection="1">
      <alignment horizontal="center" vertical="center" wrapText="1"/>
    </xf>
    <xf numFmtId="0" fontId="41" fillId="12" borderId="5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7" fillId="0" borderId="60" xfId="0" applyFont="1" applyBorder="1" applyAlignment="1" applyProtection="1">
      <alignment horizontal="center" vertical="center"/>
    </xf>
    <xf numFmtId="0" fontId="41" fillId="11" borderId="18" xfId="0" applyFont="1" applyFill="1" applyBorder="1" applyAlignment="1" applyProtection="1">
      <alignment horizontal="center" vertical="center" wrapText="1"/>
    </xf>
    <xf numFmtId="0" fontId="41" fillId="11" borderId="50" xfId="0" applyFont="1" applyFill="1" applyBorder="1" applyAlignment="1" applyProtection="1">
      <alignment horizontal="center" vertical="center" wrapText="1"/>
    </xf>
    <xf numFmtId="0" fontId="13" fillId="12" borderId="30" xfId="0" applyFont="1" applyFill="1" applyBorder="1" applyAlignment="1" applyProtection="1">
      <alignment horizontal="center" vertical="top" wrapText="1"/>
    </xf>
    <xf numFmtId="0" fontId="13" fillId="12" borderId="39" xfId="0" applyFont="1" applyFill="1" applyBorder="1" applyAlignment="1" applyProtection="1">
      <alignment horizontal="center" vertical="top" wrapText="1"/>
    </xf>
    <xf numFmtId="0" fontId="13" fillId="0" borderId="30" xfId="0" applyFont="1" applyFill="1" applyBorder="1" applyAlignment="1" applyProtection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12" fillId="4" borderId="40" xfId="0" applyFont="1" applyFill="1" applyBorder="1" applyAlignment="1" applyProtection="1">
      <alignment horizontal="center" vertical="center" wrapText="1"/>
    </xf>
    <xf numFmtId="0" fontId="12" fillId="4" borderId="38" xfId="0" applyFont="1" applyFill="1" applyBorder="1" applyAlignment="1" applyProtection="1">
      <alignment horizontal="center" vertical="center" wrapText="1"/>
    </xf>
    <xf numFmtId="0" fontId="12" fillId="4" borderId="55" xfId="0" applyFont="1" applyFill="1" applyBorder="1" applyAlignment="1" applyProtection="1">
      <alignment horizontal="center" vertical="center" wrapText="1"/>
    </xf>
    <xf numFmtId="0" fontId="41" fillId="12" borderId="2" xfId="0" applyFont="1" applyFill="1" applyBorder="1" applyAlignment="1" applyProtection="1">
      <alignment horizontal="center" vertical="center" wrapText="1"/>
    </xf>
    <xf numFmtId="0" fontId="41" fillId="12" borderId="20" xfId="0" applyFont="1" applyFill="1" applyBorder="1" applyAlignment="1" applyProtection="1">
      <alignment horizontal="center" vertical="center" wrapText="1"/>
    </xf>
    <xf numFmtId="0" fontId="41" fillId="12" borderId="58" xfId="0" applyFont="1" applyFill="1" applyBorder="1" applyAlignment="1" applyProtection="1">
      <alignment horizontal="center" vertical="center" wrapText="1"/>
    </xf>
    <xf numFmtId="0" fontId="41" fillId="15" borderId="2" xfId="0" applyFont="1" applyFill="1" applyBorder="1" applyAlignment="1" applyProtection="1">
      <alignment horizontal="center" vertical="center" wrapText="1"/>
    </xf>
    <xf numFmtId="0" fontId="0" fillId="15" borderId="20" xfId="0" applyFill="1" applyBorder="1" applyAlignment="1">
      <alignment horizontal="center" vertical="center" wrapText="1"/>
    </xf>
    <xf numFmtId="0" fontId="0" fillId="15" borderId="58" xfId="0" applyFill="1" applyBorder="1" applyAlignment="1">
      <alignment horizontal="center" vertical="center" wrapText="1"/>
    </xf>
    <xf numFmtId="0" fontId="41" fillId="11" borderId="2" xfId="0" applyFont="1" applyFill="1" applyBorder="1" applyAlignment="1" applyProtection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58" xfId="0" applyBorder="1" applyAlignment="1">
      <alignment horizontal="center"/>
    </xf>
    <xf numFmtId="0" fontId="41" fillId="11" borderId="30" xfId="0" applyFont="1" applyFill="1" applyBorder="1" applyAlignment="1" applyProtection="1">
      <alignment horizontal="center" vertical="center" wrapText="1"/>
    </xf>
    <xf numFmtId="0" fontId="41" fillId="11" borderId="39" xfId="0" applyFont="1" applyFill="1" applyBorder="1" applyAlignment="1" applyProtection="1">
      <alignment horizontal="center" vertical="center" wrapText="1"/>
    </xf>
    <xf numFmtId="0" fontId="41" fillId="11" borderId="31" xfId="0" applyFont="1" applyFill="1" applyBorder="1" applyAlignment="1" applyProtection="1">
      <alignment horizontal="center" vertical="center" wrapText="1"/>
    </xf>
    <xf numFmtId="0" fontId="13" fillId="11" borderId="30" xfId="0" applyFont="1" applyFill="1" applyBorder="1" applyAlignment="1" applyProtection="1">
      <alignment horizontal="center" vertical="top" wrapText="1"/>
    </xf>
    <xf numFmtId="0" fontId="13" fillId="11" borderId="39" xfId="0" applyFont="1" applyFill="1" applyBorder="1" applyAlignment="1" applyProtection="1">
      <alignment horizontal="center" vertical="top" wrapText="1"/>
    </xf>
    <xf numFmtId="0" fontId="0" fillId="0" borderId="20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41" fillId="6" borderId="2" xfId="0" applyFont="1" applyFill="1" applyBorder="1" applyAlignment="1" applyProtection="1">
      <alignment horizontal="center" vertical="center" wrapText="1"/>
    </xf>
    <xf numFmtId="0" fontId="0" fillId="6" borderId="58" xfId="0" applyFill="1" applyBorder="1" applyAlignment="1">
      <alignment horizontal="center" vertical="center" wrapText="1"/>
    </xf>
    <xf numFmtId="0" fontId="12" fillId="4" borderId="14" xfId="0" applyFont="1" applyFill="1" applyBorder="1" applyAlignment="1" applyProtection="1">
      <alignment horizontal="center" vertical="center" wrapText="1"/>
    </xf>
    <xf numFmtId="0" fontId="5" fillId="18" borderId="4" xfId="0" applyFont="1" applyFill="1" applyBorder="1" applyAlignment="1">
      <alignment horizontal="center" vertical="center" wrapText="1"/>
    </xf>
    <xf numFmtId="0" fontId="5" fillId="18" borderId="7" xfId="0" applyFont="1" applyFill="1" applyBorder="1" applyAlignment="1">
      <alignment horizontal="center" vertical="center" wrapText="1"/>
    </xf>
    <xf numFmtId="0" fontId="18" fillId="15" borderId="3" xfId="0" applyFont="1" applyFill="1" applyBorder="1" applyAlignment="1" applyProtection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18" borderId="13" xfId="0" applyFont="1" applyFill="1" applyBorder="1" applyAlignment="1">
      <alignment horizontal="center" vertical="center" wrapText="1"/>
    </xf>
    <xf numFmtId="0" fontId="5" fillId="18" borderId="15" xfId="0" applyFont="1" applyFill="1" applyBorder="1" applyAlignment="1">
      <alignment horizontal="center" vertical="center" wrapText="1"/>
    </xf>
    <xf numFmtId="0" fontId="41" fillId="0" borderId="21" xfId="0" applyFont="1" applyFill="1" applyBorder="1" applyAlignment="1" applyProtection="1">
      <alignment horizontal="center" vertical="center" wrapText="1"/>
    </xf>
    <xf numFmtId="0" fontId="41" fillId="0" borderId="29" xfId="0" applyFont="1" applyFill="1" applyBorder="1" applyAlignment="1" applyProtection="1">
      <alignment horizontal="center" vertical="center" wrapText="1"/>
    </xf>
    <xf numFmtId="0" fontId="41" fillId="0" borderId="22" xfId="0" applyFont="1" applyFill="1" applyBorder="1" applyAlignment="1" applyProtection="1">
      <alignment horizontal="center" vertical="center" wrapText="1"/>
    </xf>
    <xf numFmtId="0" fontId="41" fillId="0" borderId="23" xfId="0" applyFont="1" applyFill="1" applyBorder="1" applyAlignment="1" applyProtection="1">
      <alignment horizontal="center" vertical="center" wrapText="1"/>
    </xf>
    <xf numFmtId="0" fontId="41" fillId="0" borderId="0" xfId="0" applyFont="1" applyFill="1" applyBorder="1" applyAlignment="1" applyProtection="1">
      <alignment horizontal="left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18" borderId="5" xfId="0" applyFont="1" applyFill="1" applyBorder="1" applyAlignment="1">
      <alignment horizontal="center" vertical="center" wrapText="1"/>
    </xf>
    <xf numFmtId="0" fontId="5" fillId="18" borderId="8" xfId="0" applyFont="1" applyFill="1" applyBorder="1" applyAlignment="1">
      <alignment horizontal="center" vertical="center" wrapText="1"/>
    </xf>
    <xf numFmtId="0" fontId="41" fillId="18" borderId="45" xfId="0" applyFont="1" applyFill="1" applyBorder="1" applyAlignment="1">
      <alignment horizontal="center" vertical="center"/>
    </xf>
    <xf numFmtId="0" fontId="41" fillId="18" borderId="49" xfId="0" applyFont="1" applyFill="1" applyBorder="1" applyAlignment="1">
      <alignment horizontal="center" vertical="center"/>
    </xf>
    <xf numFmtId="0" fontId="41" fillId="18" borderId="13" xfId="0" applyFont="1" applyFill="1" applyBorder="1" applyAlignment="1">
      <alignment horizontal="center" vertical="center"/>
    </xf>
    <xf numFmtId="0" fontId="46" fillId="0" borderId="30" xfId="0" applyFont="1" applyBorder="1" applyAlignment="1">
      <alignment horizontal="center" vertical="center" wrapText="1"/>
    </xf>
    <xf numFmtId="0" fontId="46" fillId="0" borderId="3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8" fillId="11" borderId="3" xfId="0" applyFont="1" applyFill="1" applyBorder="1" applyAlignment="1" applyProtection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horizontal="center" vertical="center" wrapText="1"/>
    </xf>
    <xf numFmtId="0" fontId="5" fillId="11" borderId="47" xfId="0" applyFont="1" applyFill="1" applyBorder="1" applyAlignment="1">
      <alignment horizontal="center" vertical="center" wrapText="1"/>
    </xf>
    <xf numFmtId="0" fontId="5" fillId="11" borderId="28" xfId="0" applyFont="1" applyFill="1" applyBorder="1" applyAlignment="1">
      <alignment horizontal="center" vertical="center" wrapText="1"/>
    </xf>
    <xf numFmtId="0" fontId="41" fillId="11" borderId="4" xfId="0" applyFont="1" applyFill="1" applyBorder="1" applyAlignment="1">
      <alignment horizontal="center" vertical="center"/>
    </xf>
    <xf numFmtId="0" fontId="46" fillId="11" borderId="4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1" fillId="0" borderId="41" xfId="0" applyFont="1" applyFill="1" applyBorder="1" applyAlignment="1" applyProtection="1">
      <alignment horizontal="center" vertical="center" wrapText="1"/>
    </xf>
    <xf numFmtId="0" fontId="45" fillId="0" borderId="0" xfId="0" applyFont="1" applyAlignment="1">
      <alignment horizontal="center" wrapText="1"/>
    </xf>
    <xf numFmtId="0" fontId="38" fillId="0" borderId="0" xfId="0" applyFont="1" applyAlignment="1">
      <alignment horizontal="center"/>
    </xf>
    <xf numFmtId="0" fontId="38" fillId="0" borderId="0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12" fillId="4" borderId="51" xfId="0" applyFont="1" applyFill="1" applyBorder="1" applyAlignment="1" applyProtection="1">
      <alignment horizontal="center" vertical="center" wrapText="1"/>
    </xf>
    <xf numFmtId="0" fontId="12" fillId="4" borderId="34" xfId="0" applyFont="1" applyFill="1" applyBorder="1" applyAlignment="1" applyProtection="1">
      <alignment horizontal="center" vertical="center" wrapText="1"/>
    </xf>
    <xf numFmtId="0" fontId="6" fillId="2" borderId="41" xfId="0" applyFont="1" applyFill="1" applyBorder="1" applyAlignment="1" applyProtection="1">
      <alignment horizontal="center" vertical="center" wrapText="1"/>
      <protection hidden="1"/>
    </xf>
    <xf numFmtId="0" fontId="6" fillId="2" borderId="35" xfId="0" applyFont="1" applyFill="1" applyBorder="1" applyAlignment="1" applyProtection="1">
      <alignment horizontal="center" vertical="center" wrapText="1"/>
      <protection hidden="1"/>
    </xf>
    <xf numFmtId="0" fontId="6" fillId="2" borderId="32" xfId="0" applyFont="1" applyFill="1" applyBorder="1" applyAlignment="1" applyProtection="1">
      <alignment horizontal="center" vertical="center" wrapText="1"/>
      <protection hidden="1"/>
    </xf>
    <xf numFmtId="0" fontId="4" fillId="0" borderId="21" xfId="0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45" fillId="0" borderId="23" xfId="0" applyFont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left" vertical="center" wrapText="1"/>
    </xf>
    <xf numFmtId="0" fontId="4" fillId="6" borderId="39" xfId="0" applyFont="1" applyFill="1" applyBorder="1" applyAlignment="1">
      <alignment horizontal="left" vertical="center" wrapText="1"/>
    </xf>
    <xf numFmtId="0" fontId="4" fillId="6" borderId="31" xfId="0" applyFont="1" applyFill="1" applyBorder="1" applyAlignment="1">
      <alignment horizontal="left" vertical="center" wrapText="1"/>
    </xf>
    <xf numFmtId="0" fontId="4" fillId="11" borderId="30" xfId="0" applyFont="1" applyFill="1" applyBorder="1" applyAlignment="1">
      <alignment horizontal="left" vertical="center" wrapText="1"/>
    </xf>
    <xf numFmtId="0" fontId="4" fillId="11" borderId="39" xfId="0" applyFont="1" applyFill="1" applyBorder="1" applyAlignment="1">
      <alignment horizontal="left" vertical="center" wrapText="1"/>
    </xf>
    <xf numFmtId="0" fontId="4" fillId="11" borderId="31" xfId="0" applyFont="1" applyFill="1" applyBorder="1" applyAlignment="1">
      <alignment horizontal="left" vertical="center" wrapText="1"/>
    </xf>
    <xf numFmtId="0" fontId="4" fillId="5" borderId="39" xfId="0" applyFont="1" applyFill="1" applyBorder="1" applyAlignment="1">
      <alignment horizontal="left" vertical="center" wrapText="1"/>
    </xf>
    <xf numFmtId="0" fontId="4" fillId="5" borderId="31" xfId="0" applyFont="1" applyFill="1" applyBorder="1" applyAlignment="1">
      <alignment horizontal="left" vertical="center" wrapText="1"/>
    </xf>
    <xf numFmtId="0" fontId="11" fillId="0" borderId="59" xfId="0" applyFont="1" applyBorder="1" applyAlignment="1">
      <alignment horizontal="center" vertical="center" wrapText="1"/>
    </xf>
    <xf numFmtId="0" fontId="11" fillId="0" borderId="64" xfId="0" applyFont="1" applyBorder="1" applyAlignment="1">
      <alignment horizontal="center" vertical="center" wrapText="1"/>
    </xf>
    <xf numFmtId="0" fontId="45" fillId="0" borderId="65" xfId="0" applyFont="1" applyBorder="1" applyAlignment="1">
      <alignment horizontal="center" vertical="center" wrapText="1"/>
    </xf>
    <xf numFmtId="0" fontId="45" fillId="0" borderId="59" xfId="0" applyFont="1" applyBorder="1" applyAlignment="1">
      <alignment horizontal="center" vertical="center" wrapText="1"/>
    </xf>
    <xf numFmtId="0" fontId="45" fillId="0" borderId="66" xfId="0" applyFont="1" applyBorder="1" applyAlignment="1">
      <alignment horizontal="center" vertical="center" wrapText="1"/>
    </xf>
    <xf numFmtId="0" fontId="5" fillId="14" borderId="0" xfId="0" applyFont="1" applyFill="1" applyAlignment="1" applyProtection="1">
      <alignment horizontal="center"/>
    </xf>
    <xf numFmtId="0" fontId="45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center"/>
    </xf>
    <xf numFmtId="0" fontId="11" fillId="0" borderId="18" xfId="0" applyFont="1" applyBorder="1" applyAlignment="1">
      <alignment horizontal="left" vertical="center" wrapText="1"/>
    </xf>
    <xf numFmtId="0" fontId="38" fillId="0" borderId="17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 wrapText="1"/>
    </xf>
    <xf numFmtId="0" fontId="45" fillId="0" borderId="29" xfId="0" applyFont="1" applyBorder="1" applyAlignment="1">
      <alignment horizontal="center" vertical="center" wrapText="1"/>
    </xf>
    <xf numFmtId="0" fontId="45" fillId="0" borderId="44" xfId="0" applyFont="1" applyBorder="1" applyAlignment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8" fillId="14" borderId="2" xfId="0" applyFont="1" applyFill="1" applyBorder="1" applyAlignment="1" applyProtection="1">
      <alignment horizontal="center" vertical="center"/>
    </xf>
    <xf numFmtId="0" fontId="58" fillId="14" borderId="20" xfId="0" applyFont="1" applyFill="1" applyBorder="1" applyAlignment="1" applyProtection="1">
      <alignment horizontal="center" vertical="center"/>
    </xf>
    <xf numFmtId="0" fontId="58" fillId="14" borderId="58" xfId="0" applyFont="1" applyFill="1" applyBorder="1" applyAlignment="1" applyProtection="1">
      <alignment horizontal="center" vertical="center"/>
    </xf>
    <xf numFmtId="0" fontId="45" fillId="0" borderId="59" xfId="0" applyFont="1" applyBorder="1" applyAlignment="1" applyProtection="1">
      <alignment horizontal="center" vertical="top"/>
    </xf>
    <xf numFmtId="0" fontId="41" fillId="0" borderId="59" xfId="0" applyFont="1" applyBorder="1" applyAlignment="1" applyProtection="1">
      <alignment horizontal="center" vertical="top"/>
    </xf>
    <xf numFmtId="0" fontId="5" fillId="0" borderId="21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4" xfId="2"/>
  </cellStyles>
  <dxfs count="66"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Medium9"/>
  <colors>
    <mruColors>
      <color rgb="FFEFF4E4"/>
      <color rgb="FFBFFDDF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54"/>
  <sheetViews>
    <sheetView topLeftCell="A31" workbookViewId="0">
      <selection activeCell="B54" sqref="B54"/>
    </sheetView>
  </sheetViews>
  <sheetFormatPr defaultRowHeight="15" x14ac:dyDescent="0.25"/>
  <cols>
    <col min="1" max="1" width="5.42578125" customWidth="1"/>
    <col min="2" max="2" width="51.7109375" customWidth="1"/>
  </cols>
  <sheetData>
    <row r="1" spans="1:2" x14ac:dyDescent="0.25">
      <c r="A1" s="1">
        <v>1</v>
      </c>
      <c r="B1" s="2" t="s">
        <v>6</v>
      </c>
    </row>
    <row r="2" spans="1:2" x14ac:dyDescent="0.25">
      <c r="A2" s="1">
        <v>2</v>
      </c>
      <c r="B2" s="3" t="s">
        <v>79</v>
      </c>
    </row>
    <row r="3" spans="1:2" x14ac:dyDescent="0.25">
      <c r="A3" s="1">
        <v>3</v>
      </c>
      <c r="B3" s="3" t="s">
        <v>7</v>
      </c>
    </row>
    <row r="4" spans="1:2" x14ac:dyDescent="0.25">
      <c r="A4" s="1">
        <v>4</v>
      </c>
      <c r="B4" s="3" t="s">
        <v>8</v>
      </c>
    </row>
    <row r="5" spans="1:2" x14ac:dyDescent="0.25">
      <c r="A5" s="1">
        <v>5</v>
      </c>
      <c r="B5" s="3" t="s">
        <v>9</v>
      </c>
    </row>
    <row r="6" spans="1:2" x14ac:dyDescent="0.25">
      <c r="A6" s="1">
        <v>6</v>
      </c>
      <c r="B6" s="3" t="s">
        <v>10</v>
      </c>
    </row>
    <row r="7" spans="1:2" x14ac:dyDescent="0.25">
      <c r="A7" s="1">
        <v>7</v>
      </c>
      <c r="B7" s="3" t="s">
        <v>11</v>
      </c>
    </row>
    <row r="8" spans="1:2" x14ac:dyDescent="0.25">
      <c r="A8" s="1">
        <v>8</v>
      </c>
      <c r="B8" s="3" t="s">
        <v>12</v>
      </c>
    </row>
    <row r="9" spans="1:2" x14ac:dyDescent="0.25">
      <c r="A9" s="1">
        <v>9</v>
      </c>
      <c r="B9" s="3" t="s">
        <v>13</v>
      </c>
    </row>
    <row r="10" spans="1:2" x14ac:dyDescent="0.25">
      <c r="A10" s="1">
        <v>10</v>
      </c>
      <c r="B10" s="3" t="s">
        <v>14</v>
      </c>
    </row>
    <row r="11" spans="1:2" x14ac:dyDescent="0.25">
      <c r="A11" s="1">
        <v>11</v>
      </c>
      <c r="B11" s="3" t="s">
        <v>15</v>
      </c>
    </row>
    <row r="12" spans="1:2" x14ac:dyDescent="0.25">
      <c r="A12" s="1">
        <v>12</v>
      </c>
      <c r="B12" s="3" t="s">
        <v>16</v>
      </c>
    </row>
    <row r="13" spans="1:2" x14ac:dyDescent="0.25">
      <c r="A13" s="1">
        <v>13</v>
      </c>
      <c r="B13" s="3" t="s">
        <v>17</v>
      </c>
    </row>
    <row r="14" spans="1:2" x14ac:dyDescent="0.25">
      <c r="A14" s="1">
        <v>14</v>
      </c>
      <c r="B14" s="3" t="s">
        <v>18</v>
      </c>
    </row>
    <row r="15" spans="1:2" x14ac:dyDescent="0.25">
      <c r="A15" s="1">
        <v>15</v>
      </c>
      <c r="B15" s="3" t="s">
        <v>19</v>
      </c>
    </row>
    <row r="16" spans="1:2" x14ac:dyDescent="0.25">
      <c r="A16" s="1">
        <v>16</v>
      </c>
      <c r="B16" s="3" t="s">
        <v>20</v>
      </c>
    </row>
    <row r="17" spans="1:2" ht="30" x14ac:dyDescent="0.25">
      <c r="A17" s="1">
        <v>17</v>
      </c>
      <c r="B17" s="3" t="s">
        <v>21</v>
      </c>
    </row>
    <row r="18" spans="1:2" x14ac:dyDescent="0.25">
      <c r="A18" s="1">
        <v>18</v>
      </c>
      <c r="B18" s="3" t="s">
        <v>22</v>
      </c>
    </row>
    <row r="19" spans="1:2" x14ac:dyDescent="0.25">
      <c r="A19" s="1">
        <v>19</v>
      </c>
      <c r="B19" s="3" t="s">
        <v>23</v>
      </c>
    </row>
    <row r="20" spans="1:2" x14ac:dyDescent="0.25">
      <c r="A20" s="1">
        <v>20</v>
      </c>
      <c r="B20" s="3" t="s">
        <v>24</v>
      </c>
    </row>
    <row r="21" spans="1:2" x14ac:dyDescent="0.25">
      <c r="A21" s="1">
        <v>21</v>
      </c>
      <c r="B21" s="3" t="s">
        <v>25</v>
      </c>
    </row>
    <row r="22" spans="1:2" x14ac:dyDescent="0.25">
      <c r="A22" s="1">
        <v>22</v>
      </c>
      <c r="B22" s="3" t="s">
        <v>26</v>
      </c>
    </row>
    <row r="23" spans="1:2" x14ac:dyDescent="0.25">
      <c r="A23" s="1">
        <v>23</v>
      </c>
      <c r="B23" s="3" t="s">
        <v>27</v>
      </c>
    </row>
    <row r="24" spans="1:2" x14ac:dyDescent="0.25">
      <c r="A24" s="1">
        <v>24</v>
      </c>
      <c r="B24" s="3" t="s">
        <v>28</v>
      </c>
    </row>
    <row r="25" spans="1:2" x14ac:dyDescent="0.25">
      <c r="A25" s="1">
        <v>25</v>
      </c>
      <c r="B25" s="3" t="s">
        <v>29</v>
      </c>
    </row>
    <row r="26" spans="1:2" x14ac:dyDescent="0.25">
      <c r="A26" s="1">
        <v>26</v>
      </c>
      <c r="B26" s="3" t="s">
        <v>30</v>
      </c>
    </row>
    <row r="27" spans="1:2" x14ac:dyDescent="0.25">
      <c r="A27" s="1">
        <v>27</v>
      </c>
      <c r="B27" s="3" t="s">
        <v>31</v>
      </c>
    </row>
    <row r="28" spans="1:2" x14ac:dyDescent="0.25">
      <c r="A28" s="1">
        <v>28</v>
      </c>
      <c r="B28" s="3" t="s">
        <v>32</v>
      </c>
    </row>
    <row r="29" spans="1:2" x14ac:dyDescent="0.25">
      <c r="A29" s="1">
        <v>29</v>
      </c>
      <c r="B29" s="3" t="s">
        <v>33</v>
      </c>
    </row>
    <row r="30" spans="1:2" x14ac:dyDescent="0.25">
      <c r="A30" s="1">
        <v>30</v>
      </c>
      <c r="B30" s="2" t="s">
        <v>34</v>
      </c>
    </row>
    <row r="31" spans="1:2" x14ac:dyDescent="0.25">
      <c r="A31" s="1">
        <v>31</v>
      </c>
      <c r="B31" s="3" t="s">
        <v>35</v>
      </c>
    </row>
    <row r="32" spans="1:2" x14ac:dyDescent="0.25">
      <c r="A32" s="1">
        <v>32</v>
      </c>
      <c r="B32" s="3" t="s">
        <v>36</v>
      </c>
    </row>
    <row r="33" spans="1:2" x14ac:dyDescent="0.25">
      <c r="A33" s="1">
        <v>33</v>
      </c>
      <c r="B33" s="3" t="s">
        <v>37</v>
      </c>
    </row>
    <row r="34" spans="1:2" x14ac:dyDescent="0.25">
      <c r="A34" s="1">
        <v>34</v>
      </c>
      <c r="B34" s="3" t="s">
        <v>38</v>
      </c>
    </row>
    <row r="35" spans="1:2" x14ac:dyDescent="0.25">
      <c r="A35" s="1">
        <v>35</v>
      </c>
      <c r="B35" s="3" t="s">
        <v>39</v>
      </c>
    </row>
    <row r="36" spans="1:2" x14ac:dyDescent="0.25">
      <c r="A36" s="1">
        <v>36</v>
      </c>
      <c r="B36" s="3" t="s">
        <v>40</v>
      </c>
    </row>
    <row r="37" spans="1:2" x14ac:dyDescent="0.25">
      <c r="A37" s="1">
        <v>37</v>
      </c>
      <c r="B37" s="3" t="s">
        <v>41</v>
      </c>
    </row>
    <row r="38" spans="1:2" x14ac:dyDescent="0.25">
      <c r="A38" s="1">
        <v>38</v>
      </c>
      <c r="B38" s="3" t="s">
        <v>42</v>
      </c>
    </row>
    <row r="39" spans="1:2" x14ac:dyDescent="0.25">
      <c r="A39" s="1">
        <v>39</v>
      </c>
      <c r="B39" s="3" t="s">
        <v>43</v>
      </c>
    </row>
    <row r="40" spans="1:2" x14ac:dyDescent="0.25">
      <c r="A40" s="1">
        <v>40</v>
      </c>
      <c r="B40" s="3" t="s">
        <v>44</v>
      </c>
    </row>
    <row r="41" spans="1:2" x14ac:dyDescent="0.25">
      <c r="A41" s="1">
        <v>41</v>
      </c>
      <c r="B41" s="3" t="s">
        <v>45</v>
      </c>
    </row>
    <row r="42" spans="1:2" x14ac:dyDescent="0.25">
      <c r="A42" s="1">
        <v>42</v>
      </c>
      <c r="B42" s="3" t="s">
        <v>46</v>
      </c>
    </row>
    <row r="43" spans="1:2" x14ac:dyDescent="0.25">
      <c r="A43" s="1">
        <v>43</v>
      </c>
      <c r="B43" s="3" t="s">
        <v>47</v>
      </c>
    </row>
    <row r="44" spans="1:2" x14ac:dyDescent="0.25">
      <c r="A44" s="1">
        <v>44</v>
      </c>
      <c r="B44" s="3" t="s">
        <v>48</v>
      </c>
    </row>
    <row r="45" spans="1:2" x14ac:dyDescent="0.25">
      <c r="A45" s="1">
        <v>45</v>
      </c>
      <c r="B45" s="3" t="s">
        <v>49</v>
      </c>
    </row>
    <row r="46" spans="1:2" x14ac:dyDescent="0.25">
      <c r="A46" s="1">
        <v>46</v>
      </c>
      <c r="B46" s="3" t="s">
        <v>50</v>
      </c>
    </row>
    <row r="47" spans="1:2" x14ac:dyDescent="0.25">
      <c r="A47" s="1">
        <v>47</v>
      </c>
      <c r="B47" s="3" t="s">
        <v>51</v>
      </c>
    </row>
    <row r="48" spans="1:2" x14ac:dyDescent="0.25">
      <c r="A48" s="1">
        <v>48</v>
      </c>
      <c r="B48" s="3" t="s">
        <v>52</v>
      </c>
    </row>
    <row r="49" spans="1:2" x14ac:dyDescent="0.25">
      <c r="A49" s="1">
        <v>49</v>
      </c>
      <c r="B49" s="3" t="s">
        <v>53</v>
      </c>
    </row>
    <row r="50" spans="1:2" ht="19.5" customHeight="1" x14ac:dyDescent="0.25">
      <c r="A50" s="1">
        <v>50</v>
      </c>
      <c r="B50" s="3" t="s">
        <v>54</v>
      </c>
    </row>
    <row r="51" spans="1:2" x14ac:dyDescent="0.25">
      <c r="A51" s="1">
        <v>51</v>
      </c>
      <c r="B51" s="3" t="s">
        <v>55</v>
      </c>
    </row>
    <row r="52" spans="1:2" x14ac:dyDescent="0.25">
      <c r="A52" s="1">
        <v>52</v>
      </c>
      <c r="B52" s="3" t="s">
        <v>56</v>
      </c>
    </row>
    <row r="53" spans="1:2" x14ac:dyDescent="0.25">
      <c r="A53" s="1">
        <v>53</v>
      </c>
      <c r="B53" s="3" t="s">
        <v>57</v>
      </c>
    </row>
    <row r="54" spans="1:2" x14ac:dyDescent="0.25">
      <c r="A54" s="1">
        <v>54</v>
      </c>
      <c r="B54" s="3" t="s">
        <v>307</v>
      </c>
    </row>
  </sheetData>
  <sheetProtection password="DB70" sheet="1" objects="1" scenarios="1" autoFilter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59999389629810485"/>
    <pageSetUpPr fitToPage="1"/>
  </sheetPr>
  <dimension ref="A1:AM25"/>
  <sheetViews>
    <sheetView zoomScale="55" zoomScaleNormal="55" workbookViewId="0">
      <selection activeCell="A11" sqref="A11"/>
    </sheetView>
  </sheetViews>
  <sheetFormatPr defaultRowHeight="15" x14ac:dyDescent="0.25"/>
  <cols>
    <col min="1" max="1" width="12.5703125" style="36" customWidth="1"/>
    <col min="2" max="2" width="14.5703125" style="36" customWidth="1"/>
    <col min="3" max="3" width="17.28515625" style="4" customWidth="1"/>
    <col min="4" max="4" width="13.85546875" style="4" customWidth="1"/>
    <col min="5" max="5" width="15" style="4" customWidth="1"/>
    <col min="6" max="6" width="14.28515625" style="4" customWidth="1"/>
    <col min="7" max="7" width="13.5703125" style="4" customWidth="1"/>
    <col min="8" max="8" width="14.7109375" style="4" customWidth="1"/>
    <col min="9" max="9" width="18.140625" style="4" customWidth="1"/>
    <col min="10" max="10" width="14.85546875" style="4" customWidth="1"/>
    <col min="11" max="11" width="17.140625" style="4" customWidth="1"/>
    <col min="12" max="12" width="14" style="4" customWidth="1"/>
    <col min="13" max="13" width="14.5703125" style="4" customWidth="1"/>
    <col min="14" max="14" width="16" style="4" customWidth="1"/>
    <col min="15" max="15" width="17.7109375" style="4" customWidth="1"/>
    <col min="16" max="16" width="17" style="4" customWidth="1"/>
    <col min="17" max="19" width="14" style="4" customWidth="1"/>
    <col min="20" max="20" width="14.28515625" style="4" customWidth="1"/>
    <col min="21" max="21" width="14" style="4" customWidth="1"/>
    <col min="22" max="22" width="13.85546875" style="4" customWidth="1"/>
    <col min="23" max="23" width="14.28515625" style="4" customWidth="1"/>
    <col min="24" max="24" width="14" style="4" customWidth="1"/>
    <col min="25" max="25" width="13.42578125" style="4" customWidth="1"/>
    <col min="26" max="26" width="12.7109375" style="4" customWidth="1"/>
    <col min="27" max="28" width="14.42578125" style="4" customWidth="1"/>
    <col min="29" max="29" width="13.140625" style="4" customWidth="1"/>
    <col min="30" max="30" width="14.28515625" style="4" customWidth="1"/>
    <col min="31" max="31" width="14.42578125" style="4" customWidth="1"/>
    <col min="32" max="34" width="14.28515625" style="4" customWidth="1"/>
    <col min="35" max="35" width="12" style="4" customWidth="1"/>
    <col min="36" max="36" width="13.28515625" customWidth="1"/>
    <col min="37" max="37" width="12.5703125" customWidth="1"/>
    <col min="38" max="38" width="39.7109375" customWidth="1"/>
    <col min="39" max="39" width="45.140625" hidden="1" customWidth="1"/>
    <col min="40" max="42" width="9.140625" customWidth="1"/>
  </cols>
  <sheetData>
    <row r="1" spans="1:39" ht="40.5" customHeight="1" x14ac:dyDescent="0.25">
      <c r="A1" s="416" t="s">
        <v>95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</row>
    <row r="2" spans="1:39" ht="27.75" customHeight="1" x14ac:dyDescent="0.3">
      <c r="A2" s="35"/>
      <c r="B2" s="35"/>
      <c r="C2" s="5"/>
      <c r="D2" s="6" t="s">
        <v>0</v>
      </c>
      <c r="E2" s="6"/>
      <c r="F2" s="418" t="s">
        <v>349</v>
      </c>
      <c r="G2" s="418"/>
      <c r="H2" s="7" t="s">
        <v>138</v>
      </c>
      <c r="I2" s="7"/>
      <c r="J2" s="7"/>
      <c r="K2" s="7"/>
    </row>
    <row r="3" spans="1:39" ht="20.25" customHeight="1" x14ac:dyDescent="0.25"/>
    <row r="4" spans="1:39" ht="36" customHeight="1" x14ac:dyDescent="0.25">
      <c r="F4" s="423" t="s">
        <v>41</v>
      </c>
      <c r="G4" s="423"/>
      <c r="H4" s="423"/>
      <c r="I4" s="423"/>
      <c r="J4" s="423"/>
      <c r="K4" s="423"/>
      <c r="L4" s="423"/>
      <c r="M4" s="423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</row>
    <row r="5" spans="1:39" ht="21.75" customHeight="1" x14ac:dyDescent="0.25">
      <c r="F5" s="424" t="s">
        <v>1</v>
      </c>
      <c r="G5" s="424"/>
      <c r="H5" s="424"/>
      <c r="I5" s="424"/>
      <c r="J5" s="424"/>
      <c r="K5" s="424"/>
      <c r="L5" s="424"/>
      <c r="M5" s="424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</row>
    <row r="6" spans="1:39" ht="21" customHeight="1" thickBot="1" x14ac:dyDescent="0.3"/>
    <row r="7" spans="1:39" ht="79.5" customHeight="1" thickBot="1" x14ac:dyDescent="0.3">
      <c r="A7" s="434" t="s">
        <v>250</v>
      </c>
      <c r="B7" s="435"/>
      <c r="C7" s="435"/>
      <c r="D7" s="435"/>
      <c r="E7" s="435"/>
      <c r="F7" s="436"/>
      <c r="G7" s="440" t="s">
        <v>254</v>
      </c>
      <c r="H7" s="441"/>
      <c r="I7" s="441"/>
      <c r="J7" s="441"/>
      <c r="K7" s="441"/>
      <c r="L7" s="441"/>
      <c r="M7" s="441"/>
      <c r="N7" s="441"/>
      <c r="O7" s="441"/>
      <c r="P7" s="442"/>
      <c r="Q7" s="440" t="s">
        <v>256</v>
      </c>
      <c r="R7" s="448"/>
      <c r="S7" s="448"/>
      <c r="T7" s="448"/>
      <c r="U7" s="449"/>
      <c r="V7" s="437" t="s">
        <v>255</v>
      </c>
      <c r="W7" s="438"/>
      <c r="X7" s="438"/>
      <c r="Y7" s="438"/>
      <c r="Z7" s="439"/>
      <c r="AA7" s="443" t="s">
        <v>58</v>
      </c>
      <c r="AB7" s="443" t="s">
        <v>61</v>
      </c>
      <c r="AC7" s="450" t="s">
        <v>258</v>
      </c>
      <c r="AD7" s="451"/>
      <c r="AE7" s="400" t="s">
        <v>162</v>
      </c>
      <c r="AF7" s="401"/>
      <c r="AG7" s="401"/>
      <c r="AH7" s="401"/>
      <c r="AI7" s="401"/>
      <c r="AJ7" s="401"/>
      <c r="AK7" s="402"/>
      <c r="AL7" s="431" t="s">
        <v>108</v>
      </c>
    </row>
    <row r="8" spans="1:39" ht="31.5" customHeight="1" thickBot="1" x14ac:dyDescent="0.3">
      <c r="A8" s="421" t="s">
        <v>88</v>
      </c>
      <c r="B8" s="419" t="s">
        <v>228</v>
      </c>
      <c r="C8" s="427" t="s">
        <v>253</v>
      </c>
      <c r="D8" s="419" t="s">
        <v>143</v>
      </c>
      <c r="E8" s="421" t="s">
        <v>139</v>
      </c>
      <c r="F8" s="421" t="s">
        <v>140</v>
      </c>
      <c r="G8" s="425" t="s">
        <v>60</v>
      </c>
      <c r="H8" s="419" t="s">
        <v>230</v>
      </c>
      <c r="I8" s="446" t="s">
        <v>252</v>
      </c>
      <c r="J8" s="419" t="s">
        <v>233</v>
      </c>
      <c r="K8" s="429" t="s">
        <v>251</v>
      </c>
      <c r="L8" s="425" t="s">
        <v>139</v>
      </c>
      <c r="M8" s="425" t="s">
        <v>140</v>
      </c>
      <c r="N8" s="397" t="s">
        <v>146</v>
      </c>
      <c r="O8" s="399"/>
      <c r="P8" s="398"/>
      <c r="Q8" s="425" t="s">
        <v>155</v>
      </c>
      <c r="R8" s="425" t="s">
        <v>156</v>
      </c>
      <c r="S8" s="425" t="s">
        <v>157</v>
      </c>
      <c r="T8" s="397" t="s">
        <v>161</v>
      </c>
      <c r="U8" s="398"/>
      <c r="V8" s="403" t="s">
        <v>155</v>
      </c>
      <c r="W8" s="403" t="s">
        <v>156</v>
      </c>
      <c r="X8" s="403" t="s">
        <v>157</v>
      </c>
      <c r="Y8" s="405" t="s">
        <v>257</v>
      </c>
      <c r="Z8" s="406"/>
      <c r="AA8" s="444"/>
      <c r="AB8" s="444"/>
      <c r="AC8" s="407" t="s">
        <v>60</v>
      </c>
      <c r="AD8" s="412" t="s">
        <v>259</v>
      </c>
      <c r="AE8" s="407" t="s">
        <v>60</v>
      </c>
      <c r="AF8" s="412" t="s">
        <v>277</v>
      </c>
      <c r="AG8" s="409" t="s">
        <v>276</v>
      </c>
      <c r="AH8" s="409"/>
      <c r="AI8" s="410"/>
      <c r="AJ8" s="410"/>
      <c r="AK8" s="411"/>
      <c r="AL8" s="432"/>
    </row>
    <row r="9" spans="1:39" ht="237.75" customHeight="1" thickBot="1" x14ac:dyDescent="0.3">
      <c r="A9" s="422"/>
      <c r="B9" s="420"/>
      <c r="C9" s="428"/>
      <c r="D9" s="420"/>
      <c r="E9" s="422"/>
      <c r="F9" s="422"/>
      <c r="G9" s="426"/>
      <c r="H9" s="420"/>
      <c r="I9" s="447"/>
      <c r="J9" s="420"/>
      <c r="K9" s="430"/>
      <c r="L9" s="426"/>
      <c r="M9" s="426"/>
      <c r="N9" s="78" t="s">
        <v>164</v>
      </c>
      <c r="O9" s="78" t="s">
        <v>165</v>
      </c>
      <c r="P9" s="56" t="s">
        <v>141</v>
      </c>
      <c r="Q9" s="426"/>
      <c r="R9" s="426"/>
      <c r="S9" s="426"/>
      <c r="T9" s="140" t="s">
        <v>158</v>
      </c>
      <c r="U9" s="140" t="s">
        <v>159</v>
      </c>
      <c r="V9" s="404"/>
      <c r="W9" s="404"/>
      <c r="X9" s="404"/>
      <c r="Y9" s="141" t="s">
        <v>158</v>
      </c>
      <c r="Z9" s="141" t="s">
        <v>159</v>
      </c>
      <c r="AA9" s="445"/>
      <c r="AB9" s="445"/>
      <c r="AC9" s="408"/>
      <c r="AD9" s="413"/>
      <c r="AE9" s="408"/>
      <c r="AF9" s="413"/>
      <c r="AG9" s="143" t="s">
        <v>155</v>
      </c>
      <c r="AH9" s="143" t="s">
        <v>156</v>
      </c>
      <c r="AI9" s="144" t="s">
        <v>157</v>
      </c>
      <c r="AJ9" s="144" t="s">
        <v>225</v>
      </c>
      <c r="AK9" s="144" t="s">
        <v>226</v>
      </c>
      <c r="AL9" s="432"/>
    </row>
    <row r="10" spans="1:39" s="81" customFormat="1" ht="15.75" thickBot="1" x14ac:dyDescent="0.3">
      <c r="A10" s="11">
        <v>1</v>
      </c>
      <c r="B10" s="80" t="s">
        <v>229</v>
      </c>
      <c r="C10" s="11">
        <v>2</v>
      </c>
      <c r="D10" s="80" t="s">
        <v>144</v>
      </c>
      <c r="E10" s="11">
        <v>3</v>
      </c>
      <c r="F10" s="11">
        <v>4</v>
      </c>
      <c r="G10" s="61">
        <v>5</v>
      </c>
      <c r="H10" s="80" t="s">
        <v>231</v>
      </c>
      <c r="I10" s="61">
        <v>6</v>
      </c>
      <c r="J10" s="80" t="s">
        <v>120</v>
      </c>
      <c r="K10" s="80" t="s">
        <v>145</v>
      </c>
      <c r="L10" s="55" t="s">
        <v>147</v>
      </c>
      <c r="M10" s="55" t="s">
        <v>148</v>
      </c>
      <c r="N10" s="79">
        <v>9</v>
      </c>
      <c r="O10" s="80" t="s">
        <v>142</v>
      </c>
      <c r="P10" s="80" t="s">
        <v>149</v>
      </c>
      <c r="Q10" s="79">
        <v>12</v>
      </c>
      <c r="R10" s="80" t="s">
        <v>150</v>
      </c>
      <c r="S10" s="80" t="s">
        <v>151</v>
      </c>
      <c r="T10" s="80" t="s">
        <v>154</v>
      </c>
      <c r="U10" s="80" t="s">
        <v>153</v>
      </c>
      <c r="V10" s="80" t="s">
        <v>152</v>
      </c>
      <c r="W10" s="79">
        <v>16</v>
      </c>
      <c r="X10" s="79">
        <v>17</v>
      </c>
      <c r="Y10" s="80" t="s">
        <v>163</v>
      </c>
      <c r="Z10" s="80" t="s">
        <v>234</v>
      </c>
      <c r="AA10" s="80" t="s">
        <v>222</v>
      </c>
      <c r="AB10" s="80" t="s">
        <v>223</v>
      </c>
      <c r="AC10" s="80" t="s">
        <v>224</v>
      </c>
      <c r="AD10" s="80" t="s">
        <v>235</v>
      </c>
      <c r="AE10" s="80">
        <v>20</v>
      </c>
      <c r="AF10" s="80" t="s">
        <v>232</v>
      </c>
      <c r="AG10" s="80">
        <v>21</v>
      </c>
      <c r="AH10" s="80">
        <v>22</v>
      </c>
      <c r="AI10" s="80" t="s">
        <v>260</v>
      </c>
      <c r="AJ10" s="80" t="s">
        <v>261</v>
      </c>
      <c r="AK10" s="148" t="s">
        <v>262</v>
      </c>
      <c r="AL10" s="433"/>
    </row>
    <row r="11" spans="1:39" s="60" customFormat="1" ht="50.25" customHeight="1" thickBot="1" x14ac:dyDescent="0.35">
      <c r="A11" s="146">
        <v>2644</v>
      </c>
      <c r="B11" s="311">
        <v>2644</v>
      </c>
      <c r="C11" s="147">
        <v>1376</v>
      </c>
      <c r="D11" s="312">
        <v>1376</v>
      </c>
      <c r="E11" s="313">
        <v>55</v>
      </c>
      <c r="F11" s="313">
        <v>711</v>
      </c>
      <c r="G11" s="58">
        <f>Q11+R11+S11</f>
        <v>632</v>
      </c>
      <c r="H11" s="314">
        <v>632</v>
      </c>
      <c r="I11" s="58">
        <f>V11+W11+X11</f>
        <v>370</v>
      </c>
      <c r="J11" s="315">
        <v>370</v>
      </c>
      <c r="K11" s="315">
        <v>137</v>
      </c>
      <c r="L11" s="316">
        <v>18</v>
      </c>
      <c r="M11" s="316">
        <v>306</v>
      </c>
      <c r="N11" s="315">
        <v>5</v>
      </c>
      <c r="O11" s="315">
        <v>19</v>
      </c>
      <c r="P11" s="315">
        <v>260</v>
      </c>
      <c r="Q11" s="316">
        <v>61</v>
      </c>
      <c r="R11" s="316">
        <v>61</v>
      </c>
      <c r="S11" s="58">
        <f>T11+U11</f>
        <v>510</v>
      </c>
      <c r="T11" s="317">
        <v>501</v>
      </c>
      <c r="U11" s="317">
        <v>9</v>
      </c>
      <c r="V11" s="318">
        <v>3</v>
      </c>
      <c r="W11" s="318">
        <v>4</v>
      </c>
      <c r="X11" s="142">
        <f>Y11+Z11</f>
        <v>363</v>
      </c>
      <c r="Y11" s="319">
        <v>359</v>
      </c>
      <c r="Z11" s="319">
        <v>4</v>
      </c>
      <c r="AA11" s="319">
        <v>274</v>
      </c>
      <c r="AB11" s="319">
        <v>274</v>
      </c>
      <c r="AC11" s="232">
        <v>515</v>
      </c>
      <c r="AD11" s="57">
        <v>515</v>
      </c>
      <c r="AE11" s="145">
        <f>AG11+AH11+AI11</f>
        <v>367</v>
      </c>
      <c r="AF11" s="321">
        <v>367</v>
      </c>
      <c r="AG11" s="321">
        <v>83</v>
      </c>
      <c r="AH11" s="320">
        <v>72</v>
      </c>
      <c r="AI11" s="145">
        <f>AJ11+AK11</f>
        <v>212</v>
      </c>
      <c r="AJ11" s="321">
        <v>194</v>
      </c>
      <c r="AK11" s="322">
        <v>18</v>
      </c>
      <c r="AL11" s="46" t="str">
        <f>IF(OR(B11&lt;&gt;0,A11&lt;&gt;0),IF(B11&lt;=A11,"ОК","гр.1.1 &gt; гр.1"),"ОК")</f>
        <v>ОК</v>
      </c>
      <c r="AM11" s="59" t="s">
        <v>236</v>
      </c>
    </row>
    <row r="12" spans="1:39" ht="43.5" customHeight="1" x14ac:dyDescent="0.3">
      <c r="A12" s="417"/>
      <c r="B12" s="417"/>
      <c r="C12" s="417"/>
      <c r="D12" s="417"/>
      <c r="E12" s="417"/>
      <c r="F12" s="417"/>
      <c r="G12" s="417"/>
      <c r="H12" s="10"/>
      <c r="I12" s="10"/>
      <c r="J12" s="10"/>
      <c r="K12" s="10"/>
      <c r="L12" s="10"/>
      <c r="M12" s="10"/>
      <c r="Z12" s="16"/>
      <c r="AA12" s="16"/>
      <c r="AB12" s="16"/>
      <c r="AE12" s="231"/>
      <c r="AL12" s="46" t="str">
        <f>IF(OR(D11&lt;&gt;0,C11&lt;&gt;0),IF(D11&lt;=C11,"ОК","гр.2.1 &gt; гр.2"),"ОК")</f>
        <v>ОК</v>
      </c>
      <c r="AM12" s="59" t="s">
        <v>237</v>
      </c>
    </row>
    <row r="13" spans="1:39" ht="26.25" customHeight="1" x14ac:dyDescent="0.3">
      <c r="A13" s="414" t="s">
        <v>4</v>
      </c>
      <c r="B13" s="414"/>
      <c r="C13" s="414"/>
      <c r="D13" s="415" t="s">
        <v>347</v>
      </c>
      <c r="E13" s="415"/>
      <c r="F13" s="415"/>
      <c r="G13" s="54"/>
      <c r="H13" s="13"/>
      <c r="I13" s="13"/>
      <c r="J13" s="13"/>
      <c r="K13" s="13"/>
      <c r="L13" s="39"/>
      <c r="M13" s="13"/>
      <c r="N13" s="14"/>
      <c r="O13" s="13"/>
      <c r="AE13" s="231"/>
      <c r="AL13" s="46" t="str">
        <f>IF(OR(J11&lt;&gt;0,I11&lt;&gt;0),IF(J11&lt;=I11,"ОК","гр.6.1 &gt; гр.6"),"ОК")</f>
        <v>ОК</v>
      </c>
      <c r="AM13" s="59" t="s">
        <v>238</v>
      </c>
    </row>
    <row r="14" spans="1:39" ht="24" customHeight="1" x14ac:dyDescent="0.25">
      <c r="A14" s="414" t="s">
        <v>5</v>
      </c>
      <c r="B14" s="414"/>
      <c r="C14" s="414"/>
      <c r="D14" s="415" t="s">
        <v>348</v>
      </c>
      <c r="E14" s="415"/>
      <c r="F14" s="415"/>
      <c r="G14" s="54"/>
      <c r="H14" s="13"/>
      <c r="I14" s="13"/>
      <c r="J14" s="13"/>
      <c r="K14" s="13"/>
      <c r="L14" s="39"/>
      <c r="M14" s="13"/>
      <c r="N14" s="13"/>
      <c r="O14" s="13"/>
      <c r="P14" s="41"/>
      <c r="Q14" s="41"/>
      <c r="R14" s="41"/>
      <c r="S14" s="41"/>
      <c r="T14" s="41"/>
      <c r="U14" s="41"/>
      <c r="AL14" s="46" t="str">
        <f>IF(OR(K11&lt;&gt;0,I11&lt;&gt;0),IF(K11&lt;=I11,"ОК","гр.6.2 &gt; гр.6"),"ОК")</f>
        <v>ОК</v>
      </c>
      <c r="AM14" s="59" t="s">
        <v>239</v>
      </c>
    </row>
    <row r="15" spans="1:39" ht="27" customHeight="1" x14ac:dyDescent="0.25">
      <c r="A15" s="414" t="s">
        <v>3</v>
      </c>
      <c r="B15" s="414"/>
      <c r="C15" s="414"/>
      <c r="D15" s="415">
        <v>89047542538</v>
      </c>
      <c r="E15" s="415"/>
      <c r="F15" s="415"/>
      <c r="G15" s="54"/>
      <c r="H15" s="12"/>
      <c r="I15" s="12"/>
      <c r="J15" s="12"/>
      <c r="K15" s="12"/>
      <c r="L15" s="40"/>
      <c r="M15" s="13"/>
      <c r="AL15" s="46" t="str">
        <f>IF(OR(T11&lt;&gt;0,S11&lt;&gt;0),IF(T11&lt;=S11,"ОК","гр.14.1 &gt; гр.14"),"ОК")</f>
        <v>ОК</v>
      </c>
      <c r="AM15" s="59" t="s">
        <v>240</v>
      </c>
    </row>
    <row r="16" spans="1:39" ht="18.75" x14ac:dyDescent="0.25">
      <c r="G16" s="12"/>
      <c r="H16" s="12"/>
      <c r="I16" s="12"/>
      <c r="J16" s="12"/>
      <c r="K16" s="12"/>
      <c r="L16" s="12"/>
      <c r="M16" s="13"/>
      <c r="AL16" s="46" t="str">
        <f>IF(OR(U11&lt;&gt;0,S11&lt;&gt;0),IF(U11&lt;=S11,"ОК","гр.14.2 &gt; гр.14"),"ОК")</f>
        <v>ОК</v>
      </c>
      <c r="AM16" s="59" t="s">
        <v>241</v>
      </c>
    </row>
    <row r="17" spans="1:39" ht="18.75" x14ac:dyDescent="0.25">
      <c r="A17"/>
      <c r="B17"/>
      <c r="C17"/>
      <c r="D17"/>
      <c r="E17"/>
      <c r="F17"/>
      <c r="AL17" s="46" t="str">
        <f>IF(OR(Y11&lt;&gt;0,X11&lt;&gt;0),IF(Y11&lt;=X11,"ОК","гр.17.1 &gt; гр.17"),"ОК")</f>
        <v>ОК</v>
      </c>
      <c r="AM17" s="59" t="s">
        <v>242</v>
      </c>
    </row>
    <row r="18" spans="1:39" ht="18.75" x14ac:dyDescent="0.25">
      <c r="A18"/>
      <c r="B18"/>
      <c r="C18"/>
      <c r="D18"/>
      <c r="E18"/>
      <c r="F18"/>
      <c r="AL18" s="46" t="str">
        <f>IF(OR(Z11&lt;&gt;0,X11&lt;&gt;0),IF(Z11&lt;=X11,"ОК","гр.17.2 &gt; гр.17"),"ОК")</f>
        <v>ОК</v>
      </c>
      <c r="AM18" s="59" t="s">
        <v>243</v>
      </c>
    </row>
    <row r="19" spans="1:39" ht="18.75" x14ac:dyDescent="0.25">
      <c r="A19"/>
      <c r="B19"/>
      <c r="C19"/>
      <c r="D19"/>
      <c r="E19"/>
      <c r="F19"/>
      <c r="AL19" s="46" t="str">
        <f>IF(OR(AB11&lt;&gt;0,AA11&lt;&gt;0),IF(AB11&lt;=AA11,"ОК","гр.18.1 &gt; гр.18"),"ОК")</f>
        <v>ОК</v>
      </c>
      <c r="AM19" s="59" t="s">
        <v>244</v>
      </c>
    </row>
    <row r="20" spans="1:39" ht="18.75" x14ac:dyDescent="0.25">
      <c r="A20"/>
      <c r="B20"/>
      <c r="C20"/>
      <c r="D20"/>
      <c r="E20"/>
      <c r="F20"/>
      <c r="AL20" s="46" t="str">
        <f>IF(OR(AD11&lt;&gt;0,AC11&lt;&gt;0),IF(AD11&lt;=AC11,"ОК","гр.19.1 &gt; гр.19"),"ОК")</f>
        <v>ОК</v>
      </c>
      <c r="AM20" s="59" t="s">
        <v>245</v>
      </c>
    </row>
    <row r="21" spans="1:39" ht="18.75" x14ac:dyDescent="0.25">
      <c r="A21"/>
      <c r="B21"/>
      <c r="C21"/>
      <c r="D21"/>
      <c r="E21"/>
      <c r="F21"/>
      <c r="AL21" s="46" t="str">
        <f>IF(OR(AF11&lt;&gt;0,AE11&lt;&gt;0),IF(AF11&lt;=AE11,"ОК","гр.20.1 &gt; гр.20"),"ОК")</f>
        <v>ОК</v>
      </c>
      <c r="AM21" s="59" t="s">
        <v>246</v>
      </c>
    </row>
    <row r="22" spans="1:39" ht="18.75" x14ac:dyDescent="0.25">
      <c r="A22"/>
      <c r="B22"/>
      <c r="C22"/>
      <c r="D22"/>
      <c r="E22"/>
      <c r="F22"/>
      <c r="AL22" s="46" t="str">
        <f>IF(OR(I11&lt;&gt;0,G11&lt;&gt;0),IF(I11&lt;=G11,"ОК","гр.6 &gt; гр.5"),"ОК")</f>
        <v>ОК</v>
      </c>
      <c r="AM22" s="59" t="s">
        <v>247</v>
      </c>
    </row>
    <row r="23" spans="1:39" ht="36.75" customHeight="1" x14ac:dyDescent="0.25">
      <c r="A23"/>
      <c r="B23"/>
      <c r="C23"/>
      <c r="D23"/>
      <c r="E23"/>
      <c r="F23"/>
      <c r="AL23" s="46" t="str">
        <f>IF(OR(L11&lt;&gt;0,I11&lt;&gt;0),IF(L11&lt;=I11,"ОК","гр.7 &gt; гр.6"),"ОК")</f>
        <v>ОК</v>
      </c>
      <c r="AM23" s="59" t="s">
        <v>248</v>
      </c>
    </row>
    <row r="24" spans="1:39" ht="36.75" customHeight="1" x14ac:dyDescent="0.25">
      <c r="A24"/>
      <c r="B24"/>
      <c r="C24"/>
      <c r="D24"/>
      <c r="E24"/>
      <c r="F24"/>
      <c r="AL24" s="46" t="str">
        <f>IF(OR(M11&lt;&gt;0,I11&lt;&gt;0),IF(M11&lt;=I11,"ОК","гр.8 &gt; гр.6"),"ОК")</f>
        <v>ОК</v>
      </c>
      <c r="AM24" s="59" t="s">
        <v>249</v>
      </c>
    </row>
    <row r="25" spans="1:39" ht="36.75" customHeight="1" x14ac:dyDescent="0.25"/>
  </sheetData>
  <sheetProtection password="DB70" sheet="1" objects="1" scenarios="1" autoFilter="0"/>
  <mergeCells count="47">
    <mergeCell ref="AL7:AL10"/>
    <mergeCell ref="B8:B9"/>
    <mergeCell ref="A7:F7"/>
    <mergeCell ref="H8:H9"/>
    <mergeCell ref="V7:Z7"/>
    <mergeCell ref="G7:P7"/>
    <mergeCell ref="AA7:AA9"/>
    <mergeCell ref="I8:I9"/>
    <mergeCell ref="Q7:U7"/>
    <mergeCell ref="Q8:Q9"/>
    <mergeCell ref="R8:R9"/>
    <mergeCell ref="AC7:AD7"/>
    <mergeCell ref="AC8:AC9"/>
    <mergeCell ref="AD8:AD9"/>
    <mergeCell ref="AB7:AB9"/>
    <mergeCell ref="S8:S9"/>
    <mergeCell ref="A1:M1"/>
    <mergeCell ref="A12:G12"/>
    <mergeCell ref="F2:G2"/>
    <mergeCell ref="D8:D9"/>
    <mergeCell ref="J8:J9"/>
    <mergeCell ref="A8:A9"/>
    <mergeCell ref="F4:M4"/>
    <mergeCell ref="F5:M5"/>
    <mergeCell ref="G8:G9"/>
    <mergeCell ref="C8:C9"/>
    <mergeCell ref="E8:E9"/>
    <mergeCell ref="F8:F9"/>
    <mergeCell ref="K8:K9"/>
    <mergeCell ref="L8:L9"/>
    <mergeCell ref="M8:M9"/>
    <mergeCell ref="A15:C15"/>
    <mergeCell ref="A14:C14"/>
    <mergeCell ref="A13:C13"/>
    <mergeCell ref="D14:F14"/>
    <mergeCell ref="D15:F15"/>
    <mergeCell ref="D13:F13"/>
    <mergeCell ref="T8:U8"/>
    <mergeCell ref="N8:P8"/>
    <mergeCell ref="AE7:AK7"/>
    <mergeCell ref="W8:W9"/>
    <mergeCell ref="V8:V9"/>
    <mergeCell ref="X8:X9"/>
    <mergeCell ref="Y8:Z8"/>
    <mergeCell ref="AE8:AE9"/>
    <mergeCell ref="AG8:AK8"/>
    <mergeCell ref="AF8:AF9"/>
  </mergeCells>
  <conditionalFormatting sqref="AL11">
    <cfRule type="expression" dxfId="65" priority="19" stopIfTrue="1">
      <formula>AL11&lt;&gt;"ОК"</formula>
    </cfRule>
  </conditionalFormatting>
  <conditionalFormatting sqref="AL12">
    <cfRule type="expression" dxfId="64" priority="17" stopIfTrue="1">
      <formula>AL12&lt;&gt;"ОК"</formula>
    </cfRule>
  </conditionalFormatting>
  <conditionalFormatting sqref="AL13">
    <cfRule type="expression" dxfId="63" priority="15" stopIfTrue="1">
      <formula>AL13&lt;&gt;"ОК"</formula>
    </cfRule>
  </conditionalFormatting>
  <conditionalFormatting sqref="AL14">
    <cfRule type="expression" dxfId="62" priority="14" stopIfTrue="1">
      <formula>AL14&lt;&gt;"ОК"</formula>
    </cfRule>
  </conditionalFormatting>
  <conditionalFormatting sqref="AL15">
    <cfRule type="expression" dxfId="61" priority="13" stopIfTrue="1">
      <formula>AL15&lt;&gt;"ОК"</formula>
    </cfRule>
  </conditionalFormatting>
  <conditionalFormatting sqref="AL16">
    <cfRule type="expression" dxfId="60" priority="12" stopIfTrue="1">
      <formula>AL16&lt;&gt;"ОК"</formula>
    </cfRule>
  </conditionalFormatting>
  <conditionalFormatting sqref="AL17">
    <cfRule type="expression" dxfId="59" priority="11" stopIfTrue="1">
      <formula>AL17&lt;&gt;"ОК"</formula>
    </cfRule>
  </conditionalFormatting>
  <conditionalFormatting sqref="AL18">
    <cfRule type="expression" dxfId="58" priority="10" stopIfTrue="1">
      <formula>AL18&lt;&gt;"ОК"</formula>
    </cfRule>
  </conditionalFormatting>
  <conditionalFormatting sqref="AL19">
    <cfRule type="expression" dxfId="57" priority="9" stopIfTrue="1">
      <formula>AL19&lt;&gt;"ОК"</formula>
    </cfRule>
  </conditionalFormatting>
  <conditionalFormatting sqref="AL20">
    <cfRule type="expression" dxfId="56" priority="8" stopIfTrue="1">
      <formula>AL20&lt;&gt;"ОК"</formula>
    </cfRule>
  </conditionalFormatting>
  <conditionalFormatting sqref="AL21">
    <cfRule type="expression" dxfId="55" priority="7" stopIfTrue="1">
      <formula>AL21&lt;&gt;"ОК"</formula>
    </cfRule>
  </conditionalFormatting>
  <conditionalFormatting sqref="AL23">
    <cfRule type="expression" dxfId="54" priority="2" stopIfTrue="1">
      <formula>AL23&lt;&gt;"ОК"</formula>
    </cfRule>
  </conditionalFormatting>
  <conditionalFormatting sqref="AL22">
    <cfRule type="expression" dxfId="53" priority="3" stopIfTrue="1">
      <formula>AL22&lt;&gt;"ОК"</formula>
    </cfRule>
  </conditionalFormatting>
  <conditionalFormatting sqref="AL24">
    <cfRule type="expression" dxfId="52" priority="1" stopIfTrue="1">
      <formula>AL24&lt;&gt;"ОК"</formula>
    </cfRule>
  </conditionalFormatting>
  <dataValidations count="2"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F4">
      <formula1>Названия_учреждений</formula1>
    </dataValidation>
    <dataValidation type="custom" operator="greaterThanOrEqual" showInputMessage="1" showErrorMessage="1" errorTitle="В Н И М А Н И Е !" error="Перед заполнением таблицы НУЖНО ВНАЧАЛЕ ВВЕСТИ:_x000a_1) дату и название организации;_x000a_2) Ф.И.О. гл.врача, исполнителя и ТЕЛЕФОН ИСПОЛНИТЕЛЯ._x000a__x000a_Значение в этой ячейке должно быть целым положительным числом_x000a_ЛИБО РАВНО НУЛЮ._x000a_" sqref="Y11:AD11 I11:W11 AF11:AK11 A11:F11">
      <formula1>AND($F$2&lt;&gt;0,$F$4&lt;&gt;0,$D$13&lt;&gt;0,$D$14&lt;&gt;0,$D$15&lt;&gt;0,ISNUMBER(A11),A11&gt;=0,IF(ISERROR(SEARCH(",?",A11)),0,1)=0)</formula1>
    </dataValidation>
  </dataValidations>
  <pageMargins left="0.70866141732283472" right="0.70866141732283472" top="0.74803149606299213" bottom="0.74803149606299213" header="0.31496062992125984" footer="0.31496062992125984"/>
  <pageSetup paperSize="9" scale="2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CC99"/>
    <pageSetUpPr fitToPage="1"/>
  </sheetPr>
  <dimension ref="A1:AT25"/>
  <sheetViews>
    <sheetView zoomScale="55" zoomScaleNormal="55" workbookViewId="0">
      <selection activeCell="G11" sqref="G11"/>
    </sheetView>
  </sheetViews>
  <sheetFormatPr defaultRowHeight="15" x14ac:dyDescent="0.25"/>
  <cols>
    <col min="1" max="1" width="34.7109375" customWidth="1"/>
    <col min="2" max="2" width="6.140625" customWidth="1"/>
    <col min="3" max="3" width="15.85546875" customWidth="1"/>
    <col min="4" max="4" width="16.85546875" customWidth="1"/>
    <col min="5" max="5" width="14.85546875" customWidth="1"/>
    <col min="6" max="6" width="17.7109375" customWidth="1"/>
    <col min="7" max="7" width="13.42578125" customWidth="1"/>
    <col min="8" max="8" width="16.85546875" customWidth="1"/>
    <col min="9" max="9" width="13.85546875" customWidth="1"/>
    <col min="10" max="10" width="18.5703125" customWidth="1"/>
    <col min="11" max="11" width="19.28515625" customWidth="1"/>
    <col min="12" max="12" width="17.28515625" customWidth="1"/>
    <col min="13" max="13" width="18.85546875" customWidth="1"/>
    <col min="14" max="14" width="14.28515625" customWidth="1"/>
    <col min="15" max="15" width="14.140625" customWidth="1"/>
    <col min="16" max="16" width="14.85546875" customWidth="1"/>
    <col min="17" max="17" width="17" customWidth="1"/>
    <col min="18" max="18" width="21.7109375" customWidth="1"/>
    <col min="19" max="19" width="22" customWidth="1"/>
    <col min="20" max="20" width="21.140625" customWidth="1"/>
    <col min="21" max="21" width="20.28515625" customWidth="1"/>
    <col min="22" max="22" width="15.85546875" customWidth="1"/>
    <col min="23" max="23" width="36.42578125" customWidth="1"/>
    <col min="24" max="25" width="9.140625" hidden="1" customWidth="1"/>
    <col min="26" max="26" width="36" hidden="1" customWidth="1"/>
    <col min="27" max="28" width="10.85546875" hidden="1" customWidth="1"/>
    <col min="29" max="29" width="11" hidden="1" customWidth="1"/>
    <col min="30" max="30" width="10.85546875" hidden="1" customWidth="1"/>
    <col min="31" max="32" width="10" hidden="1" customWidth="1"/>
    <col min="33" max="46" width="9.140625" hidden="1" customWidth="1"/>
    <col min="47" max="47" width="34.5703125" customWidth="1"/>
    <col min="48" max="49" width="9.140625" customWidth="1"/>
  </cols>
  <sheetData>
    <row r="1" spans="1:32" ht="46.5" customHeight="1" x14ac:dyDescent="0.25">
      <c r="A1" s="307" t="b">
        <f>AND('ДВН и профосмотр_общая '!F2&lt;&gt;0,'ДВН и профосмотр_общая '!F4&lt;&gt;0,'ДВН и профосмотр_общая '!D13&lt;&gt;0,'ДВН и профосмотр_общая '!D14&lt;&gt;0,'ДВН и профосмотр_общая '!D15&lt;&gt;0)</f>
        <v>1</v>
      </c>
      <c r="B1" s="33"/>
      <c r="C1" s="455" t="s">
        <v>85</v>
      </c>
      <c r="D1" s="455"/>
      <c r="E1" s="455"/>
      <c r="F1" s="455"/>
      <c r="G1" s="455"/>
      <c r="H1" s="455"/>
      <c r="I1" s="455"/>
      <c r="J1" s="455"/>
      <c r="K1" s="455"/>
    </row>
    <row r="2" spans="1:32" ht="26.25" customHeight="1" x14ac:dyDescent="0.25"/>
    <row r="3" spans="1:32" s="4" customFormat="1" ht="27.75" customHeight="1" thickBot="1" x14ac:dyDescent="0.3">
      <c r="A3" s="464" t="s">
        <v>86</v>
      </c>
      <c r="B3" s="464"/>
      <c r="C3" s="464"/>
      <c r="D3" s="464"/>
      <c r="E3" s="464"/>
      <c r="F3" s="464"/>
      <c r="G3" s="464"/>
      <c r="H3" s="464"/>
      <c r="I3" s="464"/>
      <c r="J3" s="464"/>
      <c r="K3" s="43"/>
    </row>
    <row r="4" spans="1:32" s="4" customFormat="1" ht="37.5" customHeight="1" thickBot="1" x14ac:dyDescent="0.3">
      <c r="A4" s="460" t="s">
        <v>121</v>
      </c>
      <c r="B4" s="461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  <c r="P4" s="462"/>
      <c r="Q4" s="462"/>
      <c r="R4" s="462"/>
      <c r="S4" s="462"/>
      <c r="T4" s="462"/>
      <c r="U4" s="462"/>
      <c r="V4" s="463"/>
      <c r="W4" s="452" t="s">
        <v>108</v>
      </c>
      <c r="X4"/>
      <c r="Y4"/>
      <c r="AC4" s="25"/>
      <c r="AD4" s="25"/>
      <c r="AE4" s="25"/>
      <c r="AF4" s="25"/>
    </row>
    <row r="5" spans="1:32" s="4" customFormat="1" ht="33.75" customHeight="1" thickBot="1" x14ac:dyDescent="0.3">
      <c r="A5" s="456" t="s">
        <v>80</v>
      </c>
      <c r="B5" s="472" t="s">
        <v>297</v>
      </c>
      <c r="C5" s="474" t="s">
        <v>96</v>
      </c>
      <c r="D5" s="475"/>
      <c r="E5" s="475"/>
      <c r="F5" s="476"/>
      <c r="G5" s="465" t="s">
        <v>81</v>
      </c>
      <c r="H5" s="465"/>
      <c r="I5" s="466"/>
      <c r="J5" s="458" t="s">
        <v>286</v>
      </c>
      <c r="K5" s="453" t="s">
        <v>101</v>
      </c>
      <c r="L5" s="469" t="s">
        <v>279</v>
      </c>
      <c r="M5" s="470"/>
      <c r="N5" s="470"/>
      <c r="O5" s="470"/>
      <c r="P5" s="470"/>
      <c r="Q5" s="470"/>
      <c r="R5" s="470"/>
      <c r="S5" s="471"/>
      <c r="T5" s="453" t="s">
        <v>314</v>
      </c>
      <c r="U5" s="453" t="s">
        <v>313</v>
      </c>
      <c r="V5" s="467" t="s">
        <v>315</v>
      </c>
      <c r="W5" s="452"/>
      <c r="X5"/>
      <c r="Y5"/>
      <c r="AC5" s="25"/>
    </row>
    <row r="6" spans="1:32" s="4" customFormat="1" ht="228.95" customHeight="1" thickBot="1" x14ac:dyDescent="0.3">
      <c r="A6" s="457"/>
      <c r="B6" s="473"/>
      <c r="C6" s="98" t="s">
        <v>60</v>
      </c>
      <c r="D6" s="99" t="s">
        <v>97</v>
      </c>
      <c r="E6" s="99" t="s">
        <v>98</v>
      </c>
      <c r="F6" s="374" t="s">
        <v>346</v>
      </c>
      <c r="G6" s="99" t="s">
        <v>133</v>
      </c>
      <c r="H6" s="99" t="s">
        <v>343</v>
      </c>
      <c r="I6" s="100" t="s">
        <v>344</v>
      </c>
      <c r="J6" s="459"/>
      <c r="K6" s="454"/>
      <c r="L6" s="282" t="s">
        <v>282</v>
      </c>
      <c r="M6" s="282" t="s">
        <v>283</v>
      </c>
      <c r="N6" s="282" t="s">
        <v>104</v>
      </c>
      <c r="O6" s="282" t="s">
        <v>284</v>
      </c>
      <c r="P6" s="283" t="s">
        <v>278</v>
      </c>
      <c r="Q6" s="282" t="s">
        <v>285</v>
      </c>
      <c r="R6" s="282" t="s">
        <v>281</v>
      </c>
      <c r="S6" s="282" t="s">
        <v>280</v>
      </c>
      <c r="T6" s="454"/>
      <c r="U6" s="454"/>
      <c r="V6" s="468"/>
      <c r="W6" s="452"/>
      <c r="X6"/>
      <c r="Y6"/>
      <c r="AC6" s="25"/>
    </row>
    <row r="7" spans="1:32" s="4" customFormat="1" ht="19.5" customHeight="1" thickBot="1" x14ac:dyDescent="0.3">
      <c r="A7" s="97">
        <v>1</v>
      </c>
      <c r="B7" s="97"/>
      <c r="C7" s="371">
        <v>2</v>
      </c>
      <c r="D7" s="371">
        <v>3</v>
      </c>
      <c r="E7" s="371">
        <v>4</v>
      </c>
      <c r="F7" s="371">
        <v>5</v>
      </c>
      <c r="G7" s="371">
        <v>6</v>
      </c>
      <c r="H7" s="371">
        <v>7</v>
      </c>
      <c r="I7" s="371">
        <v>8</v>
      </c>
      <c r="J7" s="372">
        <v>9</v>
      </c>
      <c r="K7" s="372">
        <v>10</v>
      </c>
      <c r="L7" s="372">
        <v>11</v>
      </c>
      <c r="M7" s="372">
        <v>12</v>
      </c>
      <c r="N7" s="372">
        <v>13</v>
      </c>
      <c r="O7" s="372">
        <v>14</v>
      </c>
      <c r="P7" s="372">
        <v>15</v>
      </c>
      <c r="Q7" s="372">
        <v>16</v>
      </c>
      <c r="R7" s="372">
        <v>17</v>
      </c>
      <c r="S7" s="372">
        <v>18</v>
      </c>
      <c r="T7" s="372">
        <v>19</v>
      </c>
      <c r="U7" s="372">
        <v>20</v>
      </c>
      <c r="V7" s="372">
        <v>21</v>
      </c>
      <c r="W7" s="452"/>
      <c r="X7"/>
      <c r="Y7"/>
      <c r="AC7" s="25"/>
    </row>
    <row r="8" spans="1:32" s="4" customFormat="1" ht="45" customHeight="1" thickBot="1" x14ac:dyDescent="0.3">
      <c r="A8" s="284" t="s">
        <v>89</v>
      </c>
      <c r="B8" s="305" t="s">
        <v>287</v>
      </c>
      <c r="C8" s="373">
        <f>'ДВН и профосмотр_общая '!$G$11</f>
        <v>632</v>
      </c>
      <c r="D8" s="65">
        <f t="shared" ref="D8:V8" si="0">D9+D10+D11</f>
        <v>72</v>
      </c>
      <c r="E8" s="65">
        <f t="shared" si="0"/>
        <v>50</v>
      </c>
      <c r="F8" s="65">
        <f t="shared" si="0"/>
        <v>16</v>
      </c>
      <c r="G8" s="64">
        <f>'ДВН и профосмотр_общая '!$H$11</f>
        <v>632</v>
      </c>
      <c r="H8" s="65">
        <f t="shared" si="0"/>
        <v>72</v>
      </c>
      <c r="I8" s="66">
        <f t="shared" si="0"/>
        <v>50</v>
      </c>
      <c r="J8" s="280">
        <f t="shared" si="0"/>
        <v>1</v>
      </c>
      <c r="K8" s="64">
        <f t="shared" si="0"/>
        <v>1</v>
      </c>
      <c r="L8" s="64">
        <f t="shared" si="0"/>
        <v>1</v>
      </c>
      <c r="M8" s="64">
        <f t="shared" si="0"/>
        <v>0</v>
      </c>
      <c r="N8" s="64">
        <f t="shared" si="0"/>
        <v>0</v>
      </c>
      <c r="O8" s="64">
        <f t="shared" si="0"/>
        <v>0</v>
      </c>
      <c r="P8" s="64">
        <f t="shared" si="0"/>
        <v>0</v>
      </c>
      <c r="Q8" s="64">
        <f t="shared" si="0"/>
        <v>0</v>
      </c>
      <c r="R8" s="64">
        <f t="shared" si="0"/>
        <v>0</v>
      </c>
      <c r="S8" s="64">
        <f t="shared" si="0"/>
        <v>0</v>
      </c>
      <c r="T8" s="64">
        <f t="shared" si="0"/>
        <v>1</v>
      </c>
      <c r="U8" s="64">
        <f t="shared" si="0"/>
        <v>1</v>
      </c>
      <c r="V8" s="281">
        <f t="shared" si="0"/>
        <v>1</v>
      </c>
      <c r="W8" s="23" t="str">
        <f>IF(Y8&gt;0,"гр.2 &lt; гр.3+гр.4 по строке «"&amp;X8&amp;"»","ОК")</f>
        <v>ОК</v>
      </c>
      <c r="X8" s="24" t="str">
        <f>IF(Y8&gt;0,INDEX($B$9:$B$12,Y8,1),CHAR(151))</f>
        <v>—</v>
      </c>
      <c r="Y8" s="25">
        <f>IF(ISERROR(MATCH(FALSE,AA8:AD8,0)),0,MATCH(FALSE,AA8:AD8,0))</f>
        <v>0</v>
      </c>
      <c r="Z8" s="306" t="s">
        <v>302</v>
      </c>
      <c r="AA8" s="25" t="b">
        <f>IF(OR($C9&lt;&gt;0,SUM($D9:$E9)&lt;&gt;0),IF($C9&gt;=SUM($D9:$E9),TRUE,FALSE),TRUE)</f>
        <v>1</v>
      </c>
      <c r="AB8" s="25" t="b">
        <f>IF(OR($C10&lt;&gt;0,SUM($D10:$E10)&lt;&gt;0),IF($C10&gt;=SUM($D10:$E10),TRUE,FALSE),TRUE)</f>
        <v>1</v>
      </c>
      <c r="AC8" s="25" t="b">
        <f>IF(OR($C11&lt;&gt;0,SUM($D11:$E11)&lt;&gt;0),IF($C11&gt;=SUM($D11:$E11),TRUE,FALSE),TRUE)</f>
        <v>1</v>
      </c>
      <c r="AD8" s="4" t="b">
        <f>IF(OR($C12&lt;&gt;0,SUM($D12:$E12)&lt;&gt;0),IF($C12&gt;=SUM($D12:$E12),TRUE,FALSE),TRUE)</f>
        <v>1</v>
      </c>
    </row>
    <row r="9" spans="1:32" s="4" customFormat="1" ht="38.25" customHeight="1" thickBot="1" x14ac:dyDescent="0.3">
      <c r="A9" s="285" t="s">
        <v>82</v>
      </c>
      <c r="B9" s="305" t="s">
        <v>290</v>
      </c>
      <c r="C9" s="332">
        <v>40</v>
      </c>
      <c r="D9" s="330">
        <v>12</v>
      </c>
      <c r="E9" s="330">
        <v>5</v>
      </c>
      <c r="F9" s="338">
        <v>16</v>
      </c>
      <c r="G9" s="329">
        <v>40</v>
      </c>
      <c r="H9" s="330">
        <v>12</v>
      </c>
      <c r="I9" s="331">
        <v>5</v>
      </c>
      <c r="J9" s="339"/>
      <c r="K9" s="338"/>
      <c r="L9" s="338"/>
      <c r="M9" s="338"/>
      <c r="N9" s="338"/>
      <c r="O9" s="338"/>
      <c r="P9" s="338"/>
      <c r="Q9" s="338"/>
      <c r="R9" s="62"/>
      <c r="S9" s="62"/>
      <c r="T9" s="62"/>
      <c r="U9" s="62"/>
      <c r="V9" s="63"/>
      <c r="W9" s="23" t="str">
        <f>IF(Y9&gt;0,"гр.2 &lt; гр.6 по строке «"&amp;X9&amp;"»","ОК")</f>
        <v>ОК</v>
      </c>
      <c r="X9" s="24" t="str">
        <f t="shared" ref="X9:X19" si="1">IF(Y9&gt;0,INDEX($B$9:$B$12,Y9,1),CHAR(151))</f>
        <v>—</v>
      </c>
      <c r="Y9" s="25">
        <f t="shared" ref="Y9:Y19" si="2">IF(ISERROR(MATCH(FALSE,AA9:AD9,0)),0,MATCH(FALSE,AA9:AD9,0))</f>
        <v>0</v>
      </c>
      <c r="Z9" s="306" t="s">
        <v>320</v>
      </c>
      <c r="AA9" s="25" t="b">
        <f>IF(OR($C9&lt;&gt;0,$G9&lt;&gt;0),IF($C9&gt;=$G9,TRUE,FALSE),TRUE)</f>
        <v>1</v>
      </c>
      <c r="AB9" s="25" t="b">
        <f>IF(OR($C10&lt;&gt;0,$G10&lt;&gt;0),IF($C10&gt;=$G10,TRUE,FALSE),TRUE)</f>
        <v>1</v>
      </c>
      <c r="AC9" s="25" t="b">
        <f>IF(OR($C11&lt;&gt;0,$G11&lt;&gt;0),IF($C11&gt;=$G11,TRUE,FALSE),TRUE)</f>
        <v>1</v>
      </c>
      <c r="AD9" s="4" t="b">
        <f>IF(OR($C12&lt;&gt;0,$G12&lt;&gt;0),IF($C12&gt;=$G12,TRUE,FALSE),TRUE)</f>
        <v>1</v>
      </c>
    </row>
    <row r="10" spans="1:32" s="4" customFormat="1" ht="34.5" customHeight="1" thickBot="1" x14ac:dyDescent="0.3">
      <c r="A10" s="286" t="s">
        <v>83</v>
      </c>
      <c r="B10" s="305" t="s">
        <v>291</v>
      </c>
      <c r="C10" s="333">
        <v>268</v>
      </c>
      <c r="D10" s="323">
        <v>25</v>
      </c>
      <c r="E10" s="323">
        <v>31</v>
      </c>
      <c r="F10" s="334"/>
      <c r="G10" s="327">
        <v>268</v>
      </c>
      <c r="H10" s="323">
        <v>25</v>
      </c>
      <c r="I10" s="325">
        <v>31</v>
      </c>
      <c r="J10" s="335">
        <v>1</v>
      </c>
      <c r="K10" s="334">
        <v>1</v>
      </c>
      <c r="L10" s="338">
        <v>1</v>
      </c>
      <c r="M10" s="338"/>
      <c r="N10" s="338"/>
      <c r="O10" s="338"/>
      <c r="P10" s="338"/>
      <c r="Q10" s="338"/>
      <c r="R10" s="338"/>
      <c r="S10" s="338"/>
      <c r="T10" s="44">
        <v>1</v>
      </c>
      <c r="U10" s="44">
        <v>1</v>
      </c>
      <c r="V10" s="47">
        <v>1</v>
      </c>
      <c r="W10" s="23" t="str">
        <f>IF(Y10&gt;0,"гр.6 &lt; гр.7+гр.8 по строке «"&amp;X10&amp;"»","ОК")</f>
        <v>ОК</v>
      </c>
      <c r="X10" s="24" t="str">
        <f t="shared" si="1"/>
        <v>—</v>
      </c>
      <c r="Y10" s="25">
        <f t="shared" si="2"/>
        <v>0</v>
      </c>
      <c r="Z10" s="306" t="s">
        <v>321</v>
      </c>
      <c r="AA10" s="25" t="b">
        <f>IF(OR($G9&lt;&gt;0,SUM($H9:$I9)&lt;&gt;0),IF($G9&gt;=SUM($H9:$I9),TRUE,FALSE),TRUE)</f>
        <v>1</v>
      </c>
      <c r="AB10" s="25" t="b">
        <f>IF(OR($G10&lt;&gt;0,SUM($H10:$I10)&lt;&gt;0),IF($G10&gt;=SUM($H10:$I10),TRUE,FALSE),TRUE)</f>
        <v>1</v>
      </c>
      <c r="AC10" s="25" t="b">
        <f>IF(OR($G11&lt;&gt;0,SUM($H11:$I11)&lt;&gt;0),IF($G11&gt;=SUM($H11:$I11),TRUE,FALSE),TRUE)</f>
        <v>1</v>
      </c>
      <c r="AD10" s="4" t="b">
        <f>IF(OR($G12&lt;&gt;0,SUM($H12:$I12)&lt;&gt;0),IF($G12&gt;=SUM($H12:$I12),TRUE,FALSE),TRUE)</f>
        <v>1</v>
      </c>
    </row>
    <row r="11" spans="1:32" s="4" customFormat="1" ht="42" customHeight="1" thickBot="1" x14ac:dyDescent="0.3">
      <c r="A11" s="287" t="s">
        <v>84</v>
      </c>
      <c r="B11" s="305" t="s">
        <v>292</v>
      </c>
      <c r="C11" s="379">
        <f>SUM('ДВН и профосмотр_общая '!L11:M11)</f>
        <v>324</v>
      </c>
      <c r="D11" s="324">
        <v>35</v>
      </c>
      <c r="E11" s="324">
        <v>14</v>
      </c>
      <c r="F11" s="337"/>
      <c r="G11" s="328">
        <v>324</v>
      </c>
      <c r="H11" s="324">
        <v>35</v>
      </c>
      <c r="I11" s="326">
        <v>14</v>
      </c>
      <c r="J11" s="336"/>
      <c r="K11" s="337"/>
      <c r="L11" s="337"/>
      <c r="M11" s="337"/>
      <c r="N11" s="337"/>
      <c r="O11" s="337"/>
      <c r="P11" s="337"/>
      <c r="Q11" s="337"/>
      <c r="R11" s="278"/>
      <c r="S11" s="278"/>
      <c r="T11" s="278"/>
      <c r="U11" s="278"/>
      <c r="V11" s="279"/>
      <c r="W11" s="23" t="str">
        <f>IF(Y11&gt;0,"гр.10 &lt; гр.11+12+14+16+17+18 по строке «"&amp;X11&amp;"»","ОК")</f>
        <v>ОК</v>
      </c>
      <c r="X11" s="24" t="str">
        <f t="shared" si="1"/>
        <v>—</v>
      </c>
      <c r="Y11" s="25">
        <f t="shared" si="2"/>
        <v>0</v>
      </c>
      <c r="Z11" s="306" t="s">
        <v>322</v>
      </c>
      <c r="AA11" t="b">
        <f>IF(OR($K9&lt;&gt;0,SUM($L9:$M9,$O9,$Q9:$S9)&lt;&gt;0),IF($K9&gt;=SUM($L9:$M9,$O9,$Q9:$S9),TRUE,FALSE),TRUE)</f>
        <v>1</v>
      </c>
      <c r="AB11" t="b">
        <f>IF(OR($K10&lt;&gt;0,SUM($L10:$M10,$O10,$Q10:$S10)&lt;&gt;0),IF($K10&gt;=SUM($L10:$M10,$O10,$Q10:$S10),TRUE,FALSE),TRUE)</f>
        <v>1</v>
      </c>
      <c r="AC11" t="b">
        <f>IF(OR($K11&lt;&gt;0,SUM($L11:$M11,$O11,$Q11:$S11)&lt;&gt;0),IF($K11&gt;=SUM($L11:$M11,$O11,$Q11:$S11),TRUE,FALSE),TRUE)</f>
        <v>1</v>
      </c>
      <c r="AD11" t="b">
        <f>IF(OR($K12&lt;&gt;0,SUM($L12:$M12,$O12,$Q12:$S12)&lt;&gt;0),IF($K12&gt;=SUM($L12:$M12,$O12,$Q12:$S12),TRUE,FALSE),TRUE)</f>
        <v>1</v>
      </c>
    </row>
    <row r="12" spans="1:32" s="4" customFormat="1" ht="59.25" customHeight="1" thickBot="1" x14ac:dyDescent="0.3">
      <c r="A12" s="292" t="s">
        <v>288</v>
      </c>
      <c r="B12" s="305" t="s">
        <v>289</v>
      </c>
      <c r="C12" s="380">
        <f>'ДВН и профосмотр_общая '!$I$11</f>
        <v>370</v>
      </c>
      <c r="D12" s="289">
        <v>35</v>
      </c>
      <c r="E12" s="289">
        <v>14</v>
      </c>
      <c r="F12" s="289"/>
      <c r="G12" s="381">
        <f>'ДВН и профосмотр_общая '!$J$11</f>
        <v>370</v>
      </c>
      <c r="H12" s="289">
        <v>35</v>
      </c>
      <c r="I12" s="290">
        <v>14</v>
      </c>
      <c r="J12" s="291"/>
      <c r="K12" s="289"/>
      <c r="L12" s="289"/>
      <c r="M12" s="289"/>
      <c r="N12" s="289"/>
      <c r="O12" s="289"/>
      <c r="P12" s="289"/>
      <c r="Q12" s="289"/>
      <c r="R12" s="289"/>
      <c r="S12" s="289"/>
      <c r="T12" s="289"/>
      <c r="U12" s="289"/>
      <c r="V12" s="290"/>
      <c r="W12" s="46" t="str">
        <f>IF(Y12&gt;0,"гр.19 &gt; гр.9 по строке «"&amp;X12&amp;"»","ОК")</f>
        <v>ОК</v>
      </c>
      <c r="X12" s="24" t="str">
        <f t="shared" si="1"/>
        <v>—</v>
      </c>
      <c r="Y12" s="25">
        <f t="shared" si="2"/>
        <v>0</v>
      </c>
      <c r="Z12" s="306" t="s">
        <v>323</v>
      </c>
      <c r="AA12" s="25" t="b">
        <f>IF(OR($T9&lt;&gt;0,$J9&lt;&gt;0),IF($T9&lt;=$J9,TRUE,FALSE),TRUE)</f>
        <v>1</v>
      </c>
      <c r="AB12" s="25" t="b">
        <f>IF(OR($T10&lt;&gt;0,$J10&lt;&gt;0),IF($T10&lt;=$J10,TRUE,FALSE),TRUE)</f>
        <v>1</v>
      </c>
      <c r="AC12" s="25" t="b">
        <f>IF(OR($T11&lt;&gt;0,$J11&lt;&gt;0),IF($T11&lt;=$J11,TRUE,FALSE),TRUE)</f>
        <v>1</v>
      </c>
      <c r="AD12" s="25" t="b">
        <f>IF(OR($T12&lt;&gt;0,$J12&lt;&gt;0),IF($T12&lt;=$J12,TRUE,FALSE),TRUE)</f>
        <v>1</v>
      </c>
    </row>
    <row r="13" spans="1:32" s="4" customFormat="1" ht="39" customHeight="1" x14ac:dyDescent="0.25">
      <c r="A13" s="13"/>
      <c r="B13" s="13"/>
      <c r="C13" s="13"/>
      <c r="D13" s="13"/>
      <c r="E13" s="13"/>
      <c r="H13" s="13"/>
      <c r="I13" s="13"/>
      <c r="J13" s="13"/>
      <c r="K13" s="13"/>
      <c r="L13" s="14"/>
      <c r="M13" s="13"/>
      <c r="W13" s="46" t="str">
        <f>IF(Y13&gt;0,"гр.20 &gt; гр.9 по строке «"&amp;X13&amp;"»","ОК")</f>
        <v>ОК</v>
      </c>
      <c r="X13" s="24" t="str">
        <f t="shared" si="1"/>
        <v>—</v>
      </c>
      <c r="Y13" s="25">
        <f t="shared" si="2"/>
        <v>0</v>
      </c>
      <c r="Z13" s="306" t="s">
        <v>324</v>
      </c>
      <c r="AA13" s="25" t="b">
        <f>IF(OR($U9&lt;&gt;0,$J9&lt;&gt;0),IF($U9&lt;=$J9,TRUE,FALSE),TRUE)</f>
        <v>1</v>
      </c>
      <c r="AB13" s="25" t="b">
        <f>IF(OR($U10&lt;&gt;0,$J10&lt;&gt;0),IF($U10&lt;=$J10,TRUE,FALSE),TRUE)</f>
        <v>1</v>
      </c>
      <c r="AC13" s="25" t="b">
        <f>IF(OR($U11&lt;&gt;0,$J11&lt;&gt;0),IF($U11&lt;=$J11,TRUE,FALSE),TRUE)</f>
        <v>1</v>
      </c>
      <c r="AD13" s="25" t="b">
        <f>IF(OR($U12&lt;&gt;0,$J12&lt;&gt;0),IF($U12&lt;=$J12,TRUE,FALSE),TRUE)</f>
        <v>1</v>
      </c>
    </row>
    <row r="14" spans="1:32" ht="39.75" customHeight="1" x14ac:dyDescent="0.25">
      <c r="I14" s="293"/>
      <c r="W14" s="46" t="str">
        <f>IF(Y14&gt;0,"гр.9 &gt; гр.10 по строке «"&amp;X14&amp;"»","ОК")</f>
        <v>ОК</v>
      </c>
      <c r="X14" s="24" t="str">
        <f t="shared" si="1"/>
        <v>—</v>
      </c>
      <c r="Y14" s="25">
        <f t="shared" si="2"/>
        <v>0</v>
      </c>
      <c r="Z14" s="306" t="s">
        <v>325</v>
      </c>
      <c r="AA14" s="25" t="b">
        <f>IF(OR($J9&lt;&gt;0,$K9&lt;&gt;0),IF($J9&lt;=$K9,TRUE,FALSE),TRUE)</f>
        <v>1</v>
      </c>
      <c r="AB14" s="25" t="b">
        <f>IF(OR($J10&lt;&gt;0,$K10&lt;&gt;0),IF($J10&lt;=$K10,TRUE,FALSE),TRUE)</f>
        <v>1</v>
      </c>
      <c r="AC14" s="25" t="b">
        <f>IF(OR($J11&lt;&gt;0,$K11&lt;&gt;0),IF($J11&lt;=$K11,TRUE,FALSE),TRUE)</f>
        <v>1</v>
      </c>
      <c r="AD14" t="b">
        <f>IF(OR($J12&lt;&gt;0,$K12&lt;&gt;0),IF($J12&lt;=$K12,TRUE,FALSE),TRUE)</f>
        <v>1</v>
      </c>
    </row>
    <row r="15" spans="1:32" ht="39.75" customHeight="1" x14ac:dyDescent="0.3">
      <c r="A15" s="301"/>
      <c r="B15" s="301"/>
      <c r="C15" s="301"/>
      <c r="D15" s="301"/>
      <c r="E15" s="301"/>
      <c r="F15" s="301"/>
      <c r="G15" s="301"/>
      <c r="H15" s="301"/>
      <c r="I15" s="301"/>
      <c r="W15" s="46" t="str">
        <f>IF(Y15&gt;0,"гр.21 &gt; гр.19 по строке «"&amp;X15&amp;"»","ОК")</f>
        <v>ОК</v>
      </c>
      <c r="X15" s="24" t="str">
        <f t="shared" si="1"/>
        <v>—</v>
      </c>
      <c r="Y15" s="25">
        <f t="shared" si="2"/>
        <v>0</v>
      </c>
      <c r="Z15" s="306" t="s">
        <v>326</v>
      </c>
      <c r="AA15" s="25" t="b">
        <f>IF(OR($V9&lt;&gt;0,$T9&lt;&gt;0),IF($V9&lt;=$T9,TRUE,FALSE),TRUE)</f>
        <v>1</v>
      </c>
      <c r="AB15" s="25" t="b">
        <f>IF(OR($V10&lt;&gt;0,$T10&lt;&gt;0),IF($V10&lt;=$T10,TRUE,FALSE),TRUE)</f>
        <v>1</v>
      </c>
      <c r="AC15" s="25" t="b">
        <f>IF(OR($V11&lt;&gt;0,$T11&lt;&gt;0),IF($V11&lt;=$T11,TRUE,FALSE),TRUE)</f>
        <v>1</v>
      </c>
      <c r="AD15" s="25" t="b">
        <f>IF(OR($V12&lt;&gt;0,$T12&lt;&gt;0),IF($V12&lt;=$T12,TRUE,FALSE),TRUE)</f>
        <v>1</v>
      </c>
    </row>
    <row r="16" spans="1:32" ht="41.25" customHeight="1" x14ac:dyDescent="0.25">
      <c r="A16" s="277"/>
      <c r="B16" s="277"/>
      <c r="C16" s="277"/>
      <c r="D16" s="277"/>
      <c r="E16" s="277"/>
      <c r="F16" s="277"/>
      <c r="G16" s="277"/>
      <c r="H16" s="277"/>
      <c r="I16" s="277"/>
      <c r="W16" s="46" t="str">
        <f>IF(Y16&gt;0,"гр.3 &lt; гр.7 по строке «"&amp;X16&amp;"»","ОК")</f>
        <v>ОК</v>
      </c>
      <c r="X16" s="24" t="str">
        <f t="shared" si="1"/>
        <v>—</v>
      </c>
      <c r="Y16" s="25">
        <f t="shared" si="2"/>
        <v>0</v>
      </c>
      <c r="Z16" s="306" t="s">
        <v>327</v>
      </c>
      <c r="AA16" s="25" t="b">
        <f>IF(OR($D9&lt;&gt;0,$H9&lt;&gt;0),IF($D9&gt;=$H9,TRUE,FALSE),TRUE)</f>
        <v>1</v>
      </c>
      <c r="AB16" s="25" t="b">
        <f>IF(OR($D10&lt;&gt;0,$H10&lt;&gt;0),IF($D10&gt;=$H10,TRUE,FALSE),TRUE)</f>
        <v>1</v>
      </c>
      <c r="AC16" s="25" t="b">
        <f>IF(OR($D11&lt;&gt;0,$H11&lt;&gt;0),IF($D11&gt;=$H11,TRUE,FALSE),TRUE)</f>
        <v>1</v>
      </c>
      <c r="AD16" t="b">
        <f>IF(OR($D12&lt;&gt;0,$H12&lt;&gt;0),IF($D12&gt;=$H12,TRUE,FALSE),TRUE)</f>
        <v>1</v>
      </c>
    </row>
    <row r="17" spans="6:46" ht="45" customHeight="1" x14ac:dyDescent="0.25">
      <c r="F17" s="277"/>
      <c r="W17" s="46" t="str">
        <f>IF(Y17&gt;0,"гр.4 &lt; гр.8 по строке «"&amp;X17&amp;"»","ОК")</f>
        <v>ОК</v>
      </c>
      <c r="X17" s="24" t="str">
        <f t="shared" si="1"/>
        <v>—</v>
      </c>
      <c r="Y17" s="25">
        <f t="shared" si="2"/>
        <v>0</v>
      </c>
      <c r="Z17" s="306" t="s">
        <v>328</v>
      </c>
      <c r="AA17" s="25" t="b">
        <f>IF(OR($E9&lt;&gt;0,$I9&lt;&gt;0),IF($E9&gt;=$I9,TRUE,FALSE),TRUE)</f>
        <v>1</v>
      </c>
      <c r="AB17" s="25" t="b">
        <f>IF(OR($E10&lt;&gt;0,$I10&lt;&gt;0),IF($E10&gt;=$I10,TRUE,FALSE),TRUE)</f>
        <v>1</v>
      </c>
      <c r="AC17" s="25" t="b">
        <f>IF(OR($E11&lt;&gt;0,$I11&lt;&gt;0),IF($E11&gt;=$I11,TRUE,FALSE),TRUE)</f>
        <v>1</v>
      </c>
      <c r="AD17" s="25" t="b">
        <f>IF(OR($E12&lt;&gt;0,$I12&lt;&gt;0),IF($E12&gt;=$I12,TRUE,FALSE),TRUE)</f>
        <v>1</v>
      </c>
    </row>
    <row r="18" spans="6:46" ht="42" customHeight="1" x14ac:dyDescent="0.25">
      <c r="F18" s="277"/>
      <c r="I18" s="42"/>
      <c r="W18" s="46" t="str">
        <f>IF(Y18&gt;0,"гр.12 &lt; гр.13 по строке «"&amp;X18&amp;"»","ОК")</f>
        <v>ОК</v>
      </c>
      <c r="X18" s="24" t="str">
        <f t="shared" si="1"/>
        <v>—</v>
      </c>
      <c r="Y18" s="25">
        <f t="shared" si="2"/>
        <v>0</v>
      </c>
      <c r="Z18" s="306" t="s">
        <v>329</v>
      </c>
      <c r="AA18" s="25" t="b">
        <f>IF(OR($M9&lt;&gt;0,$N9&lt;&gt;0),IF($M9&gt;=$N9,TRUE,FALSE),TRUE)</f>
        <v>1</v>
      </c>
      <c r="AB18" s="25" t="b">
        <f>IF(OR($M10&lt;&gt;0,$N10&lt;&gt;0),IF($M10&gt;=$N10,TRUE,FALSE),TRUE)</f>
        <v>1</v>
      </c>
      <c r="AC18" s="25" t="b">
        <f>IF(OR($M11&lt;&gt;0,$N11&lt;&gt;0),IF($M11&gt;=$N11,TRUE,FALSE),TRUE)</f>
        <v>1</v>
      </c>
      <c r="AD18" s="25" t="b">
        <f>IF(OR($M12&lt;&gt;0,$N12&lt;&gt;0),IF($M12&gt;=$N12,TRUE,FALSE),TRUE)</f>
        <v>1</v>
      </c>
    </row>
    <row r="19" spans="6:46" ht="39" customHeight="1" x14ac:dyDescent="0.35">
      <c r="I19" s="304"/>
      <c r="K19" s="288"/>
      <c r="W19" s="46" t="str">
        <f>IF(Y19&gt;0,"гр.14 &lt; гр.15 по строке «"&amp;X19&amp;"»","ОК")</f>
        <v>ОК</v>
      </c>
      <c r="X19" s="24" t="str">
        <f t="shared" si="1"/>
        <v>—</v>
      </c>
      <c r="Y19" s="25">
        <f t="shared" si="2"/>
        <v>0</v>
      </c>
      <c r="Z19" s="306" t="s">
        <v>330</v>
      </c>
      <c r="AA19" s="25" t="b">
        <f>IF(OR($O9&lt;&gt;0,$P9&lt;&gt;0),IF($O9&gt;=$P9,TRUE,FALSE),TRUE)</f>
        <v>1</v>
      </c>
      <c r="AB19" s="25" t="b">
        <f>IF(OR($O10&lt;&gt;0,$P10&lt;&gt;0),IF($O10&gt;=$P10,TRUE,FALSE),TRUE)</f>
        <v>1</v>
      </c>
      <c r="AC19" s="25" t="b">
        <f>IF(OR($O11&lt;&gt;0,$P11&lt;&gt;0),IF($O11&gt;=$P11,TRUE,FALSE),TRUE)</f>
        <v>1</v>
      </c>
      <c r="AD19" s="25" t="b">
        <f>IF(OR($O12&lt;&gt;0,$P12&lt;&gt;0),IF($O12&gt;=$P12,TRUE,FALSE),TRUE)</f>
        <v>1</v>
      </c>
    </row>
    <row r="20" spans="6:46" ht="69" customHeight="1" x14ac:dyDescent="0.25">
      <c r="W20" s="46" t="str">
        <f>IF(Y20&gt;0,"стр.1.4 &lt; стр.1.3 по графе "&amp;X20,"ОК")</f>
        <v>ОК</v>
      </c>
      <c r="X20" s="34" t="str">
        <f>IF(Y20&gt;0,INDEX($C$7:$V$7,1,Y20),CHAR(151))</f>
        <v>—</v>
      </c>
      <c r="Y20" s="25">
        <f>IF(ISERROR(MATCH(FALSE,AA20:AT20,0)),0,MATCH(FALSE,AA20:AT20,0))</f>
        <v>0</v>
      </c>
      <c r="Z20" s="306" t="s">
        <v>308</v>
      </c>
      <c r="AA20" s="25" t="b">
        <f t="shared" ref="AA20:AT20" si="3">IF(OR(C12&lt;&gt;0,C11&lt;&gt;0),IF(C12&gt;=C11,TRUE,FALSE),TRUE)</f>
        <v>1</v>
      </c>
      <c r="AB20" s="25" t="b">
        <f t="shared" si="3"/>
        <v>1</v>
      </c>
      <c r="AC20" s="25" t="b">
        <f t="shared" si="3"/>
        <v>1</v>
      </c>
      <c r="AD20" s="25" t="b">
        <f t="shared" si="3"/>
        <v>1</v>
      </c>
      <c r="AE20" s="25" t="b">
        <f t="shared" si="3"/>
        <v>1</v>
      </c>
      <c r="AF20" s="25" t="b">
        <f t="shared" si="3"/>
        <v>1</v>
      </c>
      <c r="AG20" s="25" t="b">
        <f t="shared" si="3"/>
        <v>1</v>
      </c>
      <c r="AH20" s="25" t="b">
        <f t="shared" si="3"/>
        <v>1</v>
      </c>
      <c r="AI20" s="25" t="b">
        <f t="shared" si="3"/>
        <v>1</v>
      </c>
      <c r="AJ20" s="25" t="b">
        <f t="shared" si="3"/>
        <v>1</v>
      </c>
      <c r="AK20" s="25" t="b">
        <f t="shared" si="3"/>
        <v>1</v>
      </c>
      <c r="AL20" s="25" t="b">
        <f t="shared" si="3"/>
        <v>1</v>
      </c>
      <c r="AM20" s="25" t="b">
        <f t="shared" si="3"/>
        <v>1</v>
      </c>
      <c r="AN20" s="25" t="b">
        <f t="shared" si="3"/>
        <v>1</v>
      </c>
      <c r="AO20" s="25" t="b">
        <f t="shared" si="3"/>
        <v>1</v>
      </c>
      <c r="AP20" s="25" t="b">
        <f t="shared" si="3"/>
        <v>1</v>
      </c>
      <c r="AQ20" s="25" t="b">
        <f t="shared" si="3"/>
        <v>1</v>
      </c>
      <c r="AR20" s="25" t="b">
        <f t="shared" si="3"/>
        <v>1</v>
      </c>
      <c r="AS20" s="25" t="b">
        <f t="shared" si="3"/>
        <v>1</v>
      </c>
      <c r="AT20" s="25" t="b">
        <f t="shared" si="3"/>
        <v>1</v>
      </c>
    </row>
    <row r="21" spans="6:46" ht="57.95" customHeight="1" x14ac:dyDescent="0.25">
      <c r="W21" s="46" t="str">
        <f>IF(Y21&gt;0,"стр.1.1+1.2+1.3 ≠ стр.1 по графе "&amp;X21,"ОК")</f>
        <v>ОК</v>
      </c>
      <c r="X21" s="34" t="str">
        <f>IF(Y21&gt;0,INDEX($C$7:$G$7,1,Y21),CHAR(151))</f>
        <v>—</v>
      </c>
      <c r="Y21" s="25">
        <f>IF(ISERROR(MATCH(FALSE,AA21:AE21,0)),0,MATCH(FALSE,AA21:AE21,0))</f>
        <v>0</v>
      </c>
      <c r="Z21" s="306" t="s">
        <v>310</v>
      </c>
      <c r="AA21" s="368" t="b">
        <f>IF(OR(SUM(C9:C11)&lt;&gt;0,C8&lt;&gt;0),IF(SUM(C9:C11)=C8,TRUE,FALSE),TRUE)</f>
        <v>1</v>
      </c>
      <c r="AB21" s="370" t="b">
        <v>1</v>
      </c>
      <c r="AC21" s="370" t="b">
        <v>1</v>
      </c>
      <c r="AD21" s="370" t="b">
        <v>1</v>
      </c>
      <c r="AE21" s="368" t="b">
        <f>IF(OR(SUM(G9:G11)&lt;&gt;0,G8&lt;&gt;0),IF(SUM(G9:G11)=G8,TRUE,FALSE),TRUE)</f>
        <v>1</v>
      </c>
      <c r="AF21" s="368"/>
      <c r="AG21" s="368"/>
      <c r="AH21" s="368"/>
    </row>
    <row r="22" spans="6:46" ht="39.75" customHeight="1" x14ac:dyDescent="0.25">
      <c r="W22" s="46" t="str">
        <f>IF(Y22&gt;0,"гр.5 &gt; гр.2 по строке «"&amp;X22&amp;"»","ОК")</f>
        <v>ОК</v>
      </c>
      <c r="X22" s="24" t="str">
        <f t="shared" ref="X22" si="4">IF(Y22&gt;0,INDEX($B$9:$B$12,Y22,1),CHAR(151))</f>
        <v>—</v>
      </c>
      <c r="Y22" s="25">
        <f t="shared" ref="Y22" si="5">IF(ISERROR(MATCH(FALSE,AA22:AD22,0)),0,MATCH(FALSE,AA22:AD22,0))</f>
        <v>0</v>
      </c>
      <c r="Z22" s="306" t="s">
        <v>318</v>
      </c>
      <c r="AA22" s="369" t="b">
        <f>IF(OR($F9&lt;&gt;0,$C9&lt;&gt;0),IF($F9&lt;=$C9,TRUE,FALSE),TRUE)</f>
        <v>1</v>
      </c>
      <c r="AB22" s="369" t="b">
        <f>IF(OR($F10&lt;&gt;0,$C10&lt;&gt;0),IF($F10&lt;=$C10,TRUE,FALSE),TRUE)</f>
        <v>1</v>
      </c>
      <c r="AC22" s="369" t="b">
        <f>IF(OR($F11&lt;&gt;0,$C11&lt;&gt;0),IF($F11&lt;=$C11,TRUE,FALSE),TRUE)</f>
        <v>1</v>
      </c>
      <c r="AD22" s="369" t="b">
        <f>IF(OR($F12&lt;&gt;0,$C12&lt;&gt;0),IF($F12&lt;=$C12,TRUE,FALSE),TRUE)</f>
        <v>1</v>
      </c>
      <c r="AE22" s="369"/>
      <c r="AF22" s="369"/>
      <c r="AG22" s="369"/>
      <c r="AH22" s="369"/>
    </row>
    <row r="23" spans="6:46" x14ac:dyDescent="0.25">
      <c r="AA23" s="369"/>
    </row>
    <row r="24" spans="6:46" x14ac:dyDescent="0.25">
      <c r="AA24" s="369"/>
    </row>
    <row r="25" spans="6:46" x14ac:dyDescent="0.25">
      <c r="AA25" s="369"/>
    </row>
  </sheetData>
  <sheetProtection password="DB70" sheet="1" objects="1" scenarios="1" autoFilter="0"/>
  <mergeCells count="14">
    <mergeCell ref="W4:W7"/>
    <mergeCell ref="T5:T6"/>
    <mergeCell ref="C1:K1"/>
    <mergeCell ref="A5:A6"/>
    <mergeCell ref="J5:J6"/>
    <mergeCell ref="K5:K6"/>
    <mergeCell ref="A4:V4"/>
    <mergeCell ref="A3:J3"/>
    <mergeCell ref="G5:I5"/>
    <mergeCell ref="U5:U6"/>
    <mergeCell ref="V5:V6"/>
    <mergeCell ref="L5:S5"/>
    <mergeCell ref="B5:B6"/>
    <mergeCell ref="C5:F5"/>
  </mergeCells>
  <conditionalFormatting sqref="W8">
    <cfRule type="expression" dxfId="51" priority="27" stopIfTrue="1">
      <formula>W8&lt;&gt;"ОК"</formula>
    </cfRule>
  </conditionalFormatting>
  <conditionalFormatting sqref="W9">
    <cfRule type="expression" dxfId="50" priority="26" stopIfTrue="1">
      <formula>W9&lt;&gt;"ОК"</formula>
    </cfRule>
  </conditionalFormatting>
  <conditionalFormatting sqref="W10">
    <cfRule type="expression" dxfId="49" priority="25" stopIfTrue="1">
      <formula>W10&lt;&gt;"ОК"</formula>
    </cfRule>
  </conditionalFormatting>
  <conditionalFormatting sqref="W14">
    <cfRule type="expression" dxfId="48" priority="20" stopIfTrue="1">
      <formula>W14&lt;&gt;"ОК"</formula>
    </cfRule>
  </conditionalFormatting>
  <conditionalFormatting sqref="W16">
    <cfRule type="expression" dxfId="47" priority="17" stopIfTrue="1">
      <formula>W16&lt;&gt;"ОК"</formula>
    </cfRule>
  </conditionalFormatting>
  <conditionalFormatting sqref="W11">
    <cfRule type="expression" dxfId="46" priority="13" stopIfTrue="1">
      <formula>W11&lt;&gt;"ОК"</formula>
    </cfRule>
  </conditionalFormatting>
  <conditionalFormatting sqref="W12">
    <cfRule type="expression" dxfId="45" priority="12" stopIfTrue="1">
      <formula>W12&lt;&gt;"ОК"</formula>
    </cfRule>
  </conditionalFormatting>
  <conditionalFormatting sqref="W13">
    <cfRule type="expression" dxfId="44" priority="11" stopIfTrue="1">
      <formula>W13&lt;&gt;"ОК"</formula>
    </cfRule>
  </conditionalFormatting>
  <conditionalFormatting sqref="W15">
    <cfRule type="expression" dxfId="43" priority="10" stopIfTrue="1">
      <formula>W15&lt;&gt;"ОК"</formula>
    </cfRule>
  </conditionalFormatting>
  <conditionalFormatting sqref="W17">
    <cfRule type="expression" dxfId="42" priority="9" stopIfTrue="1">
      <formula>W17&lt;&gt;"ОК"</formula>
    </cfRule>
  </conditionalFormatting>
  <conditionalFormatting sqref="W18">
    <cfRule type="expression" dxfId="41" priority="8" stopIfTrue="1">
      <formula>W18&lt;&gt;"ОК"</formula>
    </cfRule>
  </conditionalFormatting>
  <conditionalFormatting sqref="W19">
    <cfRule type="expression" dxfId="40" priority="7" stopIfTrue="1">
      <formula>W19&lt;&gt;"ОК"</formula>
    </cfRule>
  </conditionalFormatting>
  <conditionalFormatting sqref="W20">
    <cfRule type="expression" dxfId="39" priority="3" stopIfTrue="1">
      <formula>W20&lt;&gt;"ОК"</formula>
    </cfRule>
  </conditionalFormatting>
  <conditionalFormatting sqref="W21">
    <cfRule type="expression" dxfId="38" priority="2" stopIfTrue="1">
      <formula>W21&lt;&gt;"ОК"</formula>
    </cfRule>
  </conditionalFormatting>
  <conditionalFormatting sqref="W22">
    <cfRule type="expression" dxfId="37" priority="1" stopIfTrue="1">
      <formula>W22&lt;&gt;"ОК"</formula>
    </cfRule>
  </conditionalFormatting>
  <dataValidations count="1">
    <dataValidation type="custom" operator="greaterThanOrEqual" showInputMessage="1" showErrorMessage="1" errorTitle="В Н И М А Н И Е !" error="Перед заполнением таблицы НУЖНО ВНАЧАЛЕ на листе «ДВН и профосмотры» ВВЕСТИ:_x000a_1) дату и название организации;_x000a_2) Ф.И.О. гл.врача, исполнителя и ТЕЛЕФОН ИСПОЛНИТЕЛЯ._x000a_▬_x000a_В эту ячейку можно ввести ТОЛЬКО ЦЕЛОЕ ПОЛОЖИТЕЛЬНОЕ ЧИСЛО." sqref="D9:V12 C9:C11">
      <formula1>AND($A$1=TRUE,ISNUMBER(C9),C9&gt;=0,IF(ISERROR(SEARCH(",?",C9)),0,1)=0)</formula1>
    </dataValidation>
  </dataValidations>
  <pageMargins left="0.7" right="0.7" top="0.75" bottom="0.75" header="0.3" footer="0.3"/>
  <pageSetup paperSize="9" scale="3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6" tint="-0.249977111117893"/>
    <pageSetUpPr fitToPage="1"/>
  </sheetPr>
  <dimension ref="A1:W20"/>
  <sheetViews>
    <sheetView zoomScale="55" zoomScaleNormal="55" workbookViewId="0">
      <selection activeCell="I8" sqref="I8"/>
    </sheetView>
  </sheetViews>
  <sheetFormatPr defaultRowHeight="15" x14ac:dyDescent="0.25"/>
  <cols>
    <col min="1" max="1" width="45.5703125" customWidth="1"/>
    <col min="2" max="2" width="15.28515625" customWidth="1"/>
    <col min="3" max="3" width="16.42578125" customWidth="1"/>
    <col min="4" max="4" width="14.5703125" bestFit="1" customWidth="1"/>
    <col min="5" max="5" width="25.5703125" customWidth="1"/>
    <col min="6" max="6" width="13.5703125" customWidth="1"/>
    <col min="7" max="7" width="16.85546875" customWidth="1"/>
    <col min="8" max="8" width="13.5703125" customWidth="1"/>
    <col min="9" max="9" width="18.85546875" customWidth="1"/>
    <col min="10" max="10" width="20.5703125" customWidth="1"/>
    <col min="11" max="11" width="16.7109375" customWidth="1"/>
    <col min="12" max="12" width="18.42578125" customWidth="1"/>
    <col min="13" max="13" width="13.5703125" customWidth="1"/>
    <col min="14" max="16" width="14" customWidth="1"/>
    <col min="17" max="17" width="16.42578125" customWidth="1"/>
    <col min="18" max="18" width="16" customWidth="1"/>
    <col min="19" max="19" width="17.7109375" customWidth="1"/>
    <col min="20" max="20" width="17.42578125" customWidth="1"/>
    <col min="21" max="21" width="13.5703125" customWidth="1"/>
    <col min="22" max="22" width="34.42578125" customWidth="1"/>
    <col min="23" max="23" width="36.42578125" hidden="1" customWidth="1"/>
    <col min="25" max="25" width="37.42578125" customWidth="1"/>
  </cols>
  <sheetData>
    <row r="1" spans="1:23" ht="36.75" customHeight="1" x14ac:dyDescent="0.25">
      <c r="A1" s="33" t="b">
        <f>AND('ДВН и профосмотр_общая '!F2&lt;&gt;0,'ДВН и профосмотр_общая '!F4&lt;&gt;0,'ДВН и профосмотр_общая '!D13&lt;&gt;0,'ДВН и профосмотр_общая '!D14&lt;&gt;0,'ДВН и профосмотр_общая '!D15&lt;&gt;0)</f>
        <v>1</v>
      </c>
      <c r="B1" s="477" t="s">
        <v>94</v>
      </c>
      <c r="C1" s="477"/>
      <c r="D1" s="477"/>
      <c r="E1" s="477"/>
      <c r="F1" s="477"/>
      <c r="G1" s="477"/>
      <c r="H1" s="477"/>
      <c r="I1" s="477"/>
      <c r="J1" s="477"/>
    </row>
    <row r="2" spans="1:23" ht="32.25" customHeight="1" x14ac:dyDescent="0.25"/>
    <row r="3" spans="1:23" ht="38.25" customHeight="1" x14ac:dyDescent="0.25">
      <c r="A3" s="464" t="s">
        <v>86</v>
      </c>
      <c r="B3" s="464"/>
      <c r="C3" s="464"/>
      <c r="D3" s="464"/>
      <c r="E3" s="464"/>
      <c r="F3" s="464"/>
      <c r="G3" s="464"/>
      <c r="H3" s="464"/>
      <c r="I3" s="464"/>
      <c r="J3" s="46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3" ht="38.25" customHeight="1" thickBot="1" x14ac:dyDescent="0.3">
      <c r="A4" s="488" t="s">
        <v>121</v>
      </c>
      <c r="B4" s="488"/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8"/>
      <c r="N4" s="488"/>
      <c r="O4" s="488"/>
      <c r="P4" s="488"/>
      <c r="Q4" s="488"/>
      <c r="R4" s="488"/>
      <c r="S4" s="488"/>
      <c r="T4" s="488"/>
      <c r="U4" s="488"/>
      <c r="V4" s="452" t="s">
        <v>108</v>
      </c>
    </row>
    <row r="5" spans="1:23" ht="35.25" customHeight="1" thickBot="1" x14ac:dyDescent="0.3">
      <c r="A5" s="486" t="s">
        <v>80</v>
      </c>
      <c r="B5" s="474" t="s">
        <v>107</v>
      </c>
      <c r="C5" s="475"/>
      <c r="D5" s="475"/>
      <c r="E5" s="475"/>
      <c r="F5" s="476" t="s">
        <v>81</v>
      </c>
      <c r="G5" s="465"/>
      <c r="H5" s="466"/>
      <c r="I5" s="482" t="s">
        <v>103</v>
      </c>
      <c r="J5" s="478" t="s">
        <v>101</v>
      </c>
      <c r="K5" s="484" t="s">
        <v>127</v>
      </c>
      <c r="L5" s="485"/>
      <c r="M5" s="485"/>
      <c r="N5" s="485"/>
      <c r="O5" s="485"/>
      <c r="P5" s="72"/>
      <c r="Q5" s="275"/>
      <c r="R5" s="275"/>
      <c r="S5" s="478" t="s">
        <v>316</v>
      </c>
      <c r="T5" s="478" t="s">
        <v>317</v>
      </c>
      <c r="U5" s="480" t="s">
        <v>315</v>
      </c>
      <c r="V5" s="452"/>
    </row>
    <row r="6" spans="1:23" ht="172.5" customHeight="1" thickBot="1" x14ac:dyDescent="0.3">
      <c r="A6" s="487"/>
      <c r="B6" s="98" t="s">
        <v>60</v>
      </c>
      <c r="C6" s="99" t="s">
        <v>97</v>
      </c>
      <c r="D6" s="100" t="s">
        <v>98</v>
      </c>
      <c r="E6" s="374" t="s">
        <v>345</v>
      </c>
      <c r="F6" s="294" t="s">
        <v>160</v>
      </c>
      <c r="G6" s="99" t="s">
        <v>343</v>
      </c>
      <c r="H6" s="100" t="s">
        <v>344</v>
      </c>
      <c r="I6" s="483"/>
      <c r="J6" s="479"/>
      <c r="K6" s="282" t="s">
        <v>282</v>
      </c>
      <c r="L6" s="282" t="s">
        <v>283</v>
      </c>
      <c r="M6" s="282" t="s">
        <v>104</v>
      </c>
      <c r="N6" s="282" t="s">
        <v>284</v>
      </c>
      <c r="O6" s="283" t="s">
        <v>278</v>
      </c>
      <c r="P6" s="282" t="s">
        <v>285</v>
      </c>
      <c r="Q6" s="282" t="s">
        <v>281</v>
      </c>
      <c r="R6" s="282" t="s">
        <v>280</v>
      </c>
      <c r="S6" s="479"/>
      <c r="T6" s="479"/>
      <c r="U6" s="481"/>
      <c r="V6" s="452"/>
    </row>
    <row r="7" spans="1:23" ht="19.5" customHeight="1" thickBot="1" x14ac:dyDescent="0.3">
      <c r="A7" s="74">
        <v>1</v>
      </c>
      <c r="B7" s="375">
        <v>2</v>
      </c>
      <c r="C7" s="375">
        <v>3</v>
      </c>
      <c r="D7" s="375">
        <v>4</v>
      </c>
      <c r="E7" s="375">
        <v>5</v>
      </c>
      <c r="F7" s="375">
        <v>6</v>
      </c>
      <c r="G7" s="375">
        <v>7</v>
      </c>
      <c r="H7" s="375">
        <v>8</v>
      </c>
      <c r="I7" s="376">
        <v>9</v>
      </c>
      <c r="J7" s="376">
        <v>10</v>
      </c>
      <c r="K7" s="376">
        <v>11</v>
      </c>
      <c r="L7" s="376">
        <v>12</v>
      </c>
      <c r="M7" s="376">
        <v>13</v>
      </c>
      <c r="N7" s="376">
        <v>14</v>
      </c>
      <c r="O7" s="376">
        <v>15</v>
      </c>
      <c r="P7" s="376">
        <v>16</v>
      </c>
      <c r="Q7" s="376">
        <v>17</v>
      </c>
      <c r="R7" s="376">
        <v>18</v>
      </c>
      <c r="S7" s="376">
        <v>19</v>
      </c>
      <c r="T7" s="376">
        <v>20</v>
      </c>
      <c r="U7" s="376">
        <v>21</v>
      </c>
      <c r="V7" s="452"/>
    </row>
    <row r="8" spans="1:23" ht="59.25" customHeight="1" thickBot="1" x14ac:dyDescent="0.3">
      <c r="A8" s="75" t="s">
        <v>102</v>
      </c>
      <c r="B8" s="396">
        <f>'ДВН и профосмотр_общая '!$AE$11</f>
        <v>367</v>
      </c>
      <c r="C8" s="340">
        <v>40</v>
      </c>
      <c r="D8" s="341">
        <v>17</v>
      </c>
      <c r="E8" s="340">
        <v>21</v>
      </c>
      <c r="F8" s="396">
        <f>'ДВН и профосмотр_общая '!$AF$11</f>
        <v>367</v>
      </c>
      <c r="G8" s="340">
        <v>40</v>
      </c>
      <c r="H8" s="341">
        <v>17</v>
      </c>
      <c r="I8" s="342"/>
      <c r="J8" s="343"/>
      <c r="K8" s="343"/>
      <c r="L8" s="343"/>
      <c r="M8" s="343"/>
      <c r="N8" s="343"/>
      <c r="O8" s="343"/>
      <c r="P8" s="343"/>
      <c r="Q8" s="343"/>
      <c r="R8" s="343"/>
      <c r="S8" s="344"/>
      <c r="T8" s="340"/>
      <c r="U8" s="341"/>
      <c r="V8" s="48" t="str">
        <f>IF(OR(B8&lt;&gt;0,SUM(C8:D8)&lt;&gt;0),IF(B8&gt;=SUM(C8:D8),"ОК","гр.2 &lt; гр.3+гр.4"),"ОК")</f>
        <v>ОК</v>
      </c>
      <c r="W8" s="306" t="s">
        <v>302</v>
      </c>
    </row>
    <row r="9" spans="1:23" ht="45.75" customHeight="1" x14ac:dyDescent="0.25">
      <c r="V9" s="45" t="str">
        <f>IF(OR(B8&lt;&gt;0,F8&lt;&gt;0),IF(B8&lt;F8,"гр.2 &lt; гр.6","ОК"),"ОК")</f>
        <v>ОК</v>
      </c>
      <c r="W9" s="306" t="s">
        <v>331</v>
      </c>
    </row>
    <row r="10" spans="1:23" ht="38.25" customHeight="1" x14ac:dyDescent="0.25">
      <c r="G10" s="39"/>
      <c r="V10" s="45" t="str">
        <f>IF(OR(F8&lt;&gt;0,SUM(G8:H8)&lt;&gt;0),IF(F8&gt;=SUM(G8:H8),"ОК","гр.6 &lt; гр.7+гр.8"),"ОК")</f>
        <v>ОК</v>
      </c>
      <c r="W10" s="306" t="s">
        <v>332</v>
      </c>
    </row>
    <row r="11" spans="1:23" ht="50.25" customHeight="1" x14ac:dyDescent="0.25">
      <c r="A11" s="276"/>
      <c r="B11" s="276"/>
      <c r="D11" s="276"/>
      <c r="E11" s="276"/>
      <c r="F11" s="276"/>
      <c r="G11" s="276"/>
      <c r="H11" s="276"/>
      <c r="I11" s="276"/>
      <c r="J11" s="276"/>
      <c r="V11" s="46" t="str">
        <f>IF(OR(J8&lt;&gt;0,SUM(K8:L8,N8,P8:R8)&lt;&gt;0),IF(J8&lt;SUM(K8:L8,N8,P8:R8),"гр.10 &lt; гр.11+12+14+16+17+18","ОК"),"ОК")</f>
        <v>ОК</v>
      </c>
      <c r="W11" s="306" t="s">
        <v>333</v>
      </c>
    </row>
    <row r="12" spans="1:23" ht="45" customHeight="1" x14ac:dyDescent="0.25">
      <c r="V12" s="45" t="str">
        <f>IF(OR(S8&lt;&gt;0,I8&lt;&gt;0),IF(S8&lt;=I8,"ОК","гр.19 &gt; гр.9"),"ОК")</f>
        <v>ОК</v>
      </c>
      <c r="W12" s="306" t="s">
        <v>334</v>
      </c>
    </row>
    <row r="13" spans="1:23" ht="35.25" customHeight="1" x14ac:dyDescent="0.25">
      <c r="J13" s="39"/>
      <c r="V13" s="45" t="str">
        <f>IF(OR(I8&lt;&gt;0,J8&lt;&gt;0),IF(I8&gt;J8,"гр.9 &gt; гр.10","ОК"),"ОК")</f>
        <v>ОК</v>
      </c>
      <c r="W13" s="306" t="s">
        <v>335</v>
      </c>
    </row>
    <row r="14" spans="1:23" ht="39" customHeight="1" x14ac:dyDescent="0.25">
      <c r="V14" s="45" t="str">
        <f>IF(OR(C8&lt;&gt;0,G8&lt;&gt;0),IF(C8&lt;G8,"гр.3 &lt; гр.7","ОК"),"ОК")</f>
        <v>ОК</v>
      </c>
      <c r="W14" s="306" t="s">
        <v>336</v>
      </c>
    </row>
    <row r="15" spans="1:23" ht="39" customHeight="1" x14ac:dyDescent="0.25">
      <c r="V15" s="45" t="str">
        <f>IF(OR(D8&lt;&gt;0,H8&lt;&gt;0),IF(D8&lt;H8,"гр.4 &lt; гр.8","ОК"),"ОК")</f>
        <v>ОК</v>
      </c>
      <c r="W15" s="306" t="s">
        <v>337</v>
      </c>
    </row>
    <row r="16" spans="1:23" ht="38.25" customHeight="1" x14ac:dyDescent="0.25">
      <c r="V16" s="45" t="str">
        <f>IF(OR(T8&lt;&gt;0,I8&lt;&gt;0),IF(T8&gt;I8,"гр.20 &gt; гр.9","ОК"),"ОК")</f>
        <v>ОК</v>
      </c>
      <c r="W16" s="306" t="s">
        <v>338</v>
      </c>
    </row>
    <row r="17" spans="22:23" ht="38.25" customHeight="1" x14ac:dyDescent="0.25">
      <c r="V17" s="45" t="str">
        <f>IF(OR(U8&lt;&gt;0,I8&lt;&gt;0),IF(U8&gt;I8,"гр.21 &gt; гр.9","ОК"),"ОК")</f>
        <v>ОК</v>
      </c>
      <c r="W17" s="306" t="s">
        <v>339</v>
      </c>
    </row>
    <row r="18" spans="22:23" ht="38.25" customHeight="1" x14ac:dyDescent="0.25">
      <c r="V18" s="45" t="str">
        <f>IF(OR(L8&lt;&gt;0,M8&lt;&gt;0),IF(L8&lt;M8,"гр.12 &lt; гр.13","ОК"),"ОК")</f>
        <v>ОК</v>
      </c>
      <c r="W18" s="306" t="s">
        <v>340</v>
      </c>
    </row>
    <row r="19" spans="22:23" ht="38.25" customHeight="1" x14ac:dyDescent="0.25">
      <c r="V19" s="45" t="str">
        <f>IF(OR(N8&lt;&gt;0,O8&lt;&gt;0),IF(N8&lt;O8,"гр.13 &lt; гр.14","ОК"),"ОК")</f>
        <v>ОК</v>
      </c>
      <c r="W19" s="306" t="s">
        <v>341</v>
      </c>
    </row>
    <row r="20" spans="22:23" ht="52.7" customHeight="1" x14ac:dyDescent="0.25">
      <c r="V20" s="45" t="str">
        <f>IF(OR(U8&lt;&gt;0,F8&lt;&gt;0),IF(U8&gt;F8,"гр.21 &gt; гр.6","ОК"),"ОК")</f>
        <v>ОК</v>
      </c>
      <c r="W20" s="306" t="s">
        <v>319</v>
      </c>
    </row>
  </sheetData>
  <sheetProtection password="DB70" sheet="1" objects="1" scenarios="1" autoFilter="0"/>
  <mergeCells count="13">
    <mergeCell ref="B1:J1"/>
    <mergeCell ref="V4:V7"/>
    <mergeCell ref="T5:T6"/>
    <mergeCell ref="U5:U6"/>
    <mergeCell ref="I5:I6"/>
    <mergeCell ref="J5:J6"/>
    <mergeCell ref="K5:O5"/>
    <mergeCell ref="S5:S6"/>
    <mergeCell ref="A3:J3"/>
    <mergeCell ref="A5:A6"/>
    <mergeCell ref="F5:H5"/>
    <mergeCell ref="A4:U4"/>
    <mergeCell ref="B5:E5"/>
  </mergeCells>
  <conditionalFormatting sqref="V8">
    <cfRule type="expression" dxfId="36" priority="22" stopIfTrue="1">
      <formula>V8&lt;&gt;"ОК"</formula>
    </cfRule>
  </conditionalFormatting>
  <conditionalFormatting sqref="V9">
    <cfRule type="expression" dxfId="35" priority="20" stopIfTrue="1">
      <formula>V9&lt;&gt;"ОК"</formula>
    </cfRule>
  </conditionalFormatting>
  <conditionalFormatting sqref="V10">
    <cfRule type="expression" dxfId="34" priority="18" stopIfTrue="1">
      <formula>V10&lt;&gt;"ОК"</formula>
    </cfRule>
  </conditionalFormatting>
  <conditionalFormatting sqref="V13">
    <cfRule type="expression" dxfId="33" priority="13" stopIfTrue="1">
      <formula>V13&lt;&gt;"ОК"</formula>
    </cfRule>
  </conditionalFormatting>
  <conditionalFormatting sqref="V14">
    <cfRule type="expression" dxfId="32" priority="11" stopIfTrue="1">
      <formula>V14&lt;&gt;"ОК"</formula>
    </cfRule>
  </conditionalFormatting>
  <conditionalFormatting sqref="V15">
    <cfRule type="expression" dxfId="31" priority="10" stopIfTrue="1">
      <formula>V15&lt;&gt;"ОК"</formula>
    </cfRule>
  </conditionalFormatting>
  <conditionalFormatting sqref="V11">
    <cfRule type="expression" dxfId="30" priority="7" stopIfTrue="1">
      <formula>V11&lt;&gt;"ОК"</formula>
    </cfRule>
  </conditionalFormatting>
  <conditionalFormatting sqref="V12">
    <cfRule type="expression" dxfId="29" priority="6" stopIfTrue="1">
      <formula>V12&lt;&gt;"ОК"</formula>
    </cfRule>
  </conditionalFormatting>
  <conditionalFormatting sqref="V16">
    <cfRule type="expression" dxfId="28" priority="5" stopIfTrue="1">
      <formula>V16&lt;&gt;"ОК"</formula>
    </cfRule>
  </conditionalFormatting>
  <conditionalFormatting sqref="V17">
    <cfRule type="expression" dxfId="27" priority="4" stopIfTrue="1">
      <formula>V17&lt;&gt;"ОК"</formula>
    </cfRule>
  </conditionalFormatting>
  <conditionalFormatting sqref="V18">
    <cfRule type="expression" dxfId="26" priority="3" stopIfTrue="1">
      <formula>V18&lt;&gt;"ОК"</formula>
    </cfRule>
  </conditionalFormatting>
  <conditionalFormatting sqref="V19">
    <cfRule type="expression" dxfId="25" priority="2" stopIfTrue="1">
      <formula>V19&lt;&gt;"ОК"</formula>
    </cfRule>
  </conditionalFormatting>
  <conditionalFormatting sqref="V20">
    <cfRule type="expression" dxfId="24" priority="1" stopIfTrue="1">
      <formula>V20&lt;&gt;"ОК"</formula>
    </cfRule>
  </conditionalFormatting>
  <dataValidations count="1">
    <dataValidation type="custom" operator="greaterThanOrEqual" showInputMessage="1" showErrorMessage="1" errorTitle="В Н И М А Н И Е !" error="Перед заполнением таблицы НУЖНО ВНАЧАЛЕ на листе «ДВН и профосмотры» ВВЕСТИ:_x000a_1) дату и название организации;_x000a_2) Ф.И.О. гл.врача, исполнителя и ТЕЛЕФОН ИСПОЛНИТЕЛЯ._x000a_▬_x000a_В эту ячейку можно ввести ТОЛЬКО ЦЕЛОЕ ПОЛОЖИТЕЛЬНОЕ ЧИСЛО." sqref="G8:U8 C8:E8">
      <formula1>AND($A$1=TRUE,ISNUMBER(C8),C8&gt;=0,IF(ISERROR(SEARCH(",?",C8)),0,1)=0)</formula1>
    </dataValidation>
  </dataValidations>
  <pageMargins left="0.7" right="0.7" top="0.75" bottom="0.75" header="0.3" footer="0.3"/>
  <pageSetup paperSize="9" scale="3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E903D9"/>
    <pageSetUpPr fitToPage="1"/>
  </sheetPr>
  <dimension ref="A1:O13"/>
  <sheetViews>
    <sheetView workbookViewId="0">
      <selection activeCell="E12" sqref="E12"/>
    </sheetView>
  </sheetViews>
  <sheetFormatPr defaultColWidth="9.140625" defaultRowHeight="15.75" x14ac:dyDescent="0.25"/>
  <cols>
    <col min="1" max="1" width="33.5703125" style="50" customWidth="1"/>
    <col min="2" max="2" width="14.42578125" style="50" customWidth="1"/>
    <col min="3" max="3" width="15.140625" style="50" customWidth="1"/>
    <col min="4" max="4" width="15.85546875" style="50" customWidth="1"/>
    <col min="5" max="5" width="21.85546875" style="50" customWidth="1"/>
    <col min="6" max="6" width="24" style="50" customWidth="1"/>
    <col min="7" max="7" width="34" style="50" customWidth="1"/>
    <col min="8" max="9" width="9.140625" style="50" hidden="1" customWidth="1"/>
    <col min="10" max="10" width="44.5703125" style="50" hidden="1" customWidth="1"/>
    <col min="11" max="15" width="9.140625" style="50" hidden="1" customWidth="1"/>
    <col min="16" max="16384" width="9.140625" style="50"/>
  </cols>
  <sheetData>
    <row r="1" spans="1:15" x14ac:dyDescent="0.25">
      <c r="A1" s="33" t="b">
        <f>AND('ДВН и профосмотр_общая '!F2&lt;&gt;0,'ДВН и профосмотр_общая '!F4&lt;&gt;0,'ДВН и профосмотр_общая '!D13&lt;&gt;0,'ДВН и профосмотр_общая '!D14&lt;&gt;0,'ДВН и профосмотр_общая '!D15&lt;&gt;0)</f>
        <v>1</v>
      </c>
      <c r="B1" s="490"/>
      <c r="C1" s="490"/>
      <c r="D1" s="490"/>
      <c r="E1" s="490"/>
      <c r="F1" s="490"/>
      <c r="G1" s="490"/>
      <c r="H1" s="490"/>
      <c r="I1" s="490"/>
    </row>
    <row r="2" spans="1:15" ht="51.75" customHeight="1" x14ac:dyDescent="0.25">
      <c r="A2" s="51" t="s">
        <v>124</v>
      </c>
      <c r="B2" s="489" t="s">
        <v>123</v>
      </c>
      <c r="C2" s="489"/>
      <c r="D2" s="489"/>
      <c r="E2" s="489"/>
      <c r="F2" s="489"/>
      <c r="G2" s="489"/>
      <c r="H2" s="489"/>
      <c r="I2" s="489"/>
    </row>
    <row r="4" spans="1:15" ht="16.5" thickBot="1" x14ac:dyDescent="0.3">
      <c r="B4" s="492" t="s">
        <v>132</v>
      </c>
      <c r="C4" s="492"/>
      <c r="D4" s="492"/>
      <c r="E4" s="492"/>
      <c r="F4" s="492"/>
      <c r="G4" s="49"/>
      <c r="H4" s="49"/>
      <c r="I4" s="49"/>
    </row>
    <row r="5" spans="1:15" ht="111.75" customHeight="1" thickBot="1" x14ac:dyDescent="0.3">
      <c r="A5" s="106" t="s">
        <v>126</v>
      </c>
      <c r="B5" s="77" t="s">
        <v>128</v>
      </c>
      <c r="C5" s="77" t="s">
        <v>129</v>
      </c>
      <c r="D5" s="107" t="s">
        <v>131</v>
      </c>
      <c r="E5" s="108" t="s">
        <v>294</v>
      </c>
      <c r="F5" s="109" t="s">
        <v>130</v>
      </c>
      <c r="G5" s="493" t="s">
        <v>108</v>
      </c>
    </row>
    <row r="6" spans="1:15" s="53" customFormat="1" ht="13.5" customHeight="1" thickBot="1" x14ac:dyDescent="0.25">
      <c r="A6" s="295">
        <v>1</v>
      </c>
      <c r="B6" s="296">
        <v>2</v>
      </c>
      <c r="C6" s="296">
        <v>3</v>
      </c>
      <c r="D6" s="297">
        <v>4</v>
      </c>
      <c r="E6" s="298">
        <v>5</v>
      </c>
      <c r="F6" s="298">
        <v>6</v>
      </c>
      <c r="G6" s="494"/>
    </row>
    <row r="7" spans="1:15" ht="56.25" customHeight="1" x14ac:dyDescent="0.25">
      <c r="A7" s="110" t="s">
        <v>134</v>
      </c>
      <c r="B7" s="111">
        <f>'ДВН-124н'!L8</f>
        <v>1</v>
      </c>
      <c r="C7" s="111">
        <f>'профосмотры 124н'!K8</f>
        <v>0</v>
      </c>
      <c r="D7" s="112">
        <f>B7+C7</f>
        <v>1</v>
      </c>
      <c r="E7" s="113">
        <v>10</v>
      </c>
      <c r="F7" s="308">
        <f t="shared" ref="F7:F12" si="0">IF(ISERROR(D7/E7*100),0,D7/E7*100)</f>
        <v>10</v>
      </c>
      <c r="G7" s="495" t="str">
        <f>IF(I7&gt;0,"гр.5 &lt; гр.4 по строке «"&amp;H7&amp;"»","ОК")</f>
        <v>ОК</v>
      </c>
      <c r="H7" s="24" t="str">
        <f>IF(I7&gt;0,INDEX($A$7:$A$11,I7,1),CHAR(151))</f>
        <v>—</v>
      </c>
      <c r="I7" s="25">
        <f>IF(ISERROR(MATCH(FALSE,K7:O7,0)),0,MATCH(FALSE,K7:O7,0))</f>
        <v>0</v>
      </c>
      <c r="J7" s="306" t="s">
        <v>296</v>
      </c>
      <c r="K7" s="25" t="b">
        <f>IF(OR($E7&lt;&gt;0,$D7&lt;&gt;0),IF($E7&gt;=$D7,TRUE,FALSE),TRUE)</f>
        <v>1</v>
      </c>
      <c r="L7" s="25" t="b">
        <f>IF(OR($E8&lt;&gt;0,$D8&lt;&gt;0),IF($E8&gt;=$D8,TRUE,FALSE),TRUE)</f>
        <v>1</v>
      </c>
      <c r="M7" s="25" t="b">
        <f>IF(OR($E9&lt;&gt;0,$D9&lt;&gt;0),IF($E9&gt;=$D9,TRUE,FALSE),TRUE)</f>
        <v>1</v>
      </c>
      <c r="N7" s="25" t="b">
        <f>IF(OR($E10&lt;&gt;0,$D10&lt;&gt;0),IF($E10&gt;=$D10,TRUE,FALSE),TRUE)</f>
        <v>1</v>
      </c>
      <c r="O7" s="25" t="b">
        <f>IF(OR($E11&lt;&gt;0,$D11&lt;&gt;0),IF($E11&gt;=$D11,TRUE,FALSE),TRUE)</f>
        <v>1</v>
      </c>
    </row>
    <row r="8" spans="1:15" ht="33" customHeight="1" x14ac:dyDescent="0.25">
      <c r="A8" s="101" t="s">
        <v>135</v>
      </c>
      <c r="B8" s="52">
        <f>'ДВН-124н'!M8</f>
        <v>0</v>
      </c>
      <c r="C8" s="52">
        <f>'профосмотры 124н'!L8</f>
        <v>0</v>
      </c>
      <c r="D8" s="102">
        <f>B8+C8</f>
        <v>0</v>
      </c>
      <c r="E8" s="104"/>
      <c r="F8" s="309">
        <f t="shared" si="0"/>
        <v>0</v>
      </c>
      <c r="G8" s="496"/>
    </row>
    <row r="9" spans="1:15" ht="27" customHeight="1" x14ac:dyDescent="0.25">
      <c r="A9" s="101" t="s">
        <v>122</v>
      </c>
      <c r="B9" s="52">
        <f>'ДВН-124н'!O8</f>
        <v>0</v>
      </c>
      <c r="C9" s="52">
        <f>'профосмотры 124н'!N8</f>
        <v>0</v>
      </c>
      <c r="D9" s="102">
        <f>B9+C9</f>
        <v>0</v>
      </c>
      <c r="E9" s="105">
        <f>E10+E11</f>
        <v>9</v>
      </c>
      <c r="F9" s="309">
        <f t="shared" si="0"/>
        <v>0</v>
      </c>
      <c r="G9" s="496"/>
    </row>
    <row r="10" spans="1:15" ht="18" customHeight="1" x14ac:dyDescent="0.25">
      <c r="A10" s="103" t="s">
        <v>136</v>
      </c>
      <c r="B10" s="52">
        <f>'ДВН-124н'!P8</f>
        <v>0</v>
      </c>
      <c r="C10" s="52">
        <f>'профосмотры 124н'!O8</f>
        <v>0</v>
      </c>
      <c r="D10" s="102">
        <f>B10+C10</f>
        <v>0</v>
      </c>
      <c r="E10" s="104"/>
      <c r="F10" s="309">
        <f t="shared" si="0"/>
        <v>0</v>
      </c>
      <c r="G10" s="496"/>
    </row>
    <row r="11" spans="1:15" ht="23.25" customHeight="1" thickBot="1" x14ac:dyDescent="0.3">
      <c r="A11" s="114" t="s">
        <v>137</v>
      </c>
      <c r="B11" s="115">
        <f>B9-B10</f>
        <v>0</v>
      </c>
      <c r="C11" s="115">
        <f>C9-C10</f>
        <v>0</v>
      </c>
      <c r="D11" s="116">
        <f>B11+C11</f>
        <v>0</v>
      </c>
      <c r="E11" s="117">
        <v>9</v>
      </c>
      <c r="F11" s="310">
        <f t="shared" si="0"/>
        <v>0</v>
      </c>
      <c r="G11" s="497"/>
    </row>
    <row r="12" spans="1:15" ht="27" customHeight="1" thickBot="1" x14ac:dyDescent="0.3">
      <c r="A12" s="118" t="s">
        <v>125</v>
      </c>
      <c r="B12" s="119">
        <f>B7+B8+B9</f>
        <v>1</v>
      </c>
      <c r="C12" s="119">
        <f t="shared" ref="C12:E12" si="1">C7+C8+C9</f>
        <v>0</v>
      </c>
      <c r="D12" s="120">
        <f t="shared" si="1"/>
        <v>1</v>
      </c>
      <c r="E12" s="121">
        <f t="shared" si="1"/>
        <v>19</v>
      </c>
      <c r="F12" s="122">
        <f t="shared" si="0"/>
        <v>5.2631578947368416</v>
      </c>
    </row>
    <row r="13" spans="1:15" x14ac:dyDescent="0.25">
      <c r="B13" s="491"/>
      <c r="C13" s="491"/>
    </row>
  </sheetData>
  <sheetProtection password="DB70" sheet="1" objects="1" scenarios="1" autoFilter="0"/>
  <mergeCells count="6">
    <mergeCell ref="B2:I2"/>
    <mergeCell ref="B1:I1"/>
    <mergeCell ref="B13:C13"/>
    <mergeCell ref="B4:F4"/>
    <mergeCell ref="G5:G6"/>
    <mergeCell ref="G7:G11"/>
  </mergeCells>
  <conditionalFormatting sqref="G7">
    <cfRule type="expression" dxfId="23" priority="1" stopIfTrue="1">
      <formula>G7&lt;&gt;"ОК"</formula>
    </cfRule>
  </conditionalFormatting>
  <dataValidations count="1">
    <dataValidation type="custom" operator="greaterThanOrEqual" showInputMessage="1" showErrorMessage="1" errorTitle="В Н И М А Н И Е !" error="Перед заполнением таблицы НУЖНО ВНАЧАЛЕ на листе «ДВН и профосмотры» ВВЕСТИ:_x000a_1) дату и название организации;_x000a_2) Ф.И.О. гл.врача, исполнителя и ТЕЛЕФОН ИСПОЛНИТЕЛЯ._x000a_▬_x000a_В эту ячейку можно ввести ТОЛЬКО ЦЕЛОЕ ПОЛОЖИТЕЛЬНОЕ ЧИСЛО." sqref="E7:E11">
      <formula1>AND($A$1=TRUE,ISNUMBER(E7),E7&gt;=0,IF(ISERROR(SEARCH(",?",E7)),0,1)=0)</formula1>
    </dataValidation>
  </dataValidation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8" tint="0.39997558519241921"/>
    <pageSetUpPr fitToPage="1"/>
  </sheetPr>
  <dimension ref="A1:AV30"/>
  <sheetViews>
    <sheetView zoomScale="55" zoomScaleNormal="55" workbookViewId="0">
      <selection activeCell="K11" sqref="K11"/>
    </sheetView>
  </sheetViews>
  <sheetFormatPr defaultColWidth="9.140625" defaultRowHeight="15" x14ac:dyDescent="0.25"/>
  <cols>
    <col min="1" max="1" width="20" style="213" customWidth="1"/>
    <col min="2" max="2" width="4.85546875" style="17" customWidth="1"/>
    <col min="3" max="3" width="36.5703125" style="18" customWidth="1"/>
    <col min="4" max="4" width="12.5703125" style="17" customWidth="1"/>
    <col min="5" max="5" width="12" style="17" customWidth="1"/>
    <col min="6" max="6" width="11.28515625" style="17" customWidth="1"/>
    <col min="7" max="7" width="13.5703125" style="17" customWidth="1"/>
    <col min="8" max="9" width="11.5703125" style="17" customWidth="1"/>
    <col min="10" max="10" width="11.85546875" style="17" customWidth="1"/>
    <col min="11" max="11" width="11.5703125" style="17" customWidth="1"/>
    <col min="12" max="12" width="11" style="17" customWidth="1"/>
    <col min="13" max="13" width="10.7109375" style="17" customWidth="1"/>
    <col min="14" max="14" width="11.7109375" style="17" customWidth="1"/>
    <col min="15" max="15" width="11.42578125" style="17" customWidth="1"/>
    <col min="16" max="16" width="12.140625" style="84" customWidth="1"/>
    <col min="17" max="17" width="17.140625" style="17" customWidth="1"/>
    <col min="18" max="18" width="15.140625" style="17" customWidth="1"/>
    <col min="19" max="19" width="16.28515625" style="17" customWidth="1"/>
    <col min="20" max="20" width="17.7109375" style="17" customWidth="1"/>
    <col min="21" max="21" width="16.42578125" style="17" customWidth="1"/>
    <col min="22" max="22" width="28.5703125" style="17" customWidth="1"/>
    <col min="23" max="24" width="9.140625" style="17" hidden="1" customWidth="1"/>
    <col min="25" max="25" width="30.28515625" style="17" hidden="1" customWidth="1"/>
    <col min="26" max="43" width="9.140625" style="17" hidden="1" customWidth="1"/>
    <col min="44" max="44" width="10.42578125" style="17" customWidth="1"/>
    <col min="45" max="16384" width="9.140625" style="17"/>
  </cols>
  <sheetData>
    <row r="1" spans="1:44" ht="37.5" customHeight="1" x14ac:dyDescent="0.3">
      <c r="A1" s="227" t="b">
        <f>AND('ДВН и профосмотр_общая '!F2&lt;&gt;0,'ДВН и профосмотр_общая '!F4&lt;&gt;0,'ДВН и профосмотр_общая '!D13&lt;&gt;0,'ДВН и профосмотр_общая '!D14&lt;&gt;0,'ДВН и профосмотр_общая '!D15&lt;&gt;0)</f>
        <v>1</v>
      </c>
      <c r="B1" s="514" t="s">
        <v>186</v>
      </c>
      <c r="C1" s="514"/>
      <c r="D1" s="514"/>
      <c r="E1" s="514"/>
      <c r="F1" s="514"/>
      <c r="G1" s="514"/>
      <c r="H1" s="514"/>
      <c r="I1" s="514"/>
      <c r="J1" s="514"/>
      <c r="K1" s="9"/>
      <c r="L1" s="9"/>
      <c r="M1" s="9"/>
      <c r="N1" s="9"/>
      <c r="O1" s="9"/>
      <c r="P1" s="82"/>
      <c r="Q1" s="9"/>
    </row>
    <row r="2" spans="1:44" ht="18.75" x14ac:dyDescent="0.3">
      <c r="A2" s="228" t="b">
        <f>AND('ДВН и профосмотр_общая '!$F$2&lt;&gt;0,'ДВН и профосмотр_общая '!$F$4&lt;&gt;0,'ДВН и профосмотр_общая '!$D$13&lt;&gt;0,'ДВН и профосмотр_общая '!$D$14&lt;&gt;0,'ДВН и профосмотр_общая '!$D$15&lt;&gt;0)</f>
        <v>1</v>
      </c>
      <c r="B2" s="8"/>
      <c r="C2" s="515" t="s">
        <v>59</v>
      </c>
      <c r="D2" s="516"/>
      <c r="E2" s="516"/>
      <c r="F2" s="516"/>
      <c r="G2" s="8"/>
      <c r="H2" s="8"/>
      <c r="I2" s="8"/>
      <c r="J2" s="8"/>
      <c r="K2" s="8"/>
      <c r="L2" s="8"/>
      <c r="M2" s="8"/>
      <c r="N2" s="8"/>
      <c r="O2" s="8"/>
      <c r="P2" s="83"/>
    </row>
    <row r="3" spans="1:44" ht="15.75" thickBot="1" x14ac:dyDescent="0.3">
      <c r="M3" s="123">
        <f>L8+M8+N8</f>
        <v>747</v>
      </c>
      <c r="N3" s="124">
        <f>L9+M9+N9</f>
        <v>90</v>
      </c>
    </row>
    <row r="4" spans="1:44" ht="60.75" hidden="1" thickBot="1" x14ac:dyDescent="0.3">
      <c r="F4" s="18" t="s">
        <v>75</v>
      </c>
      <c r="G4" s="18" t="s">
        <v>76</v>
      </c>
      <c r="H4" s="17">
        <v>4</v>
      </c>
      <c r="J4" s="18" t="s">
        <v>77</v>
      </c>
      <c r="K4" s="18" t="s">
        <v>78</v>
      </c>
      <c r="L4" s="18"/>
      <c r="M4" s="18"/>
      <c r="N4" s="18"/>
      <c r="O4" s="18"/>
      <c r="P4" s="85"/>
      <c r="Q4" s="17">
        <v>5</v>
      </c>
      <c r="R4" s="17">
        <v>6</v>
      </c>
      <c r="S4" s="17">
        <v>7</v>
      </c>
      <c r="T4" s="17">
        <v>8</v>
      </c>
      <c r="U4" s="17">
        <v>9</v>
      </c>
    </row>
    <row r="5" spans="1:44" ht="35.25" customHeight="1" thickBot="1" x14ac:dyDescent="0.3">
      <c r="A5" s="517" t="s">
        <v>62</v>
      </c>
      <c r="B5" s="509" t="s">
        <v>64</v>
      </c>
      <c r="C5" s="519" t="s">
        <v>63</v>
      </c>
      <c r="D5" s="521" t="s">
        <v>73</v>
      </c>
      <c r="E5" s="522"/>
      <c r="F5" s="499"/>
      <c r="G5" s="500"/>
      <c r="H5" s="521" t="s">
        <v>74</v>
      </c>
      <c r="I5" s="522"/>
      <c r="J5" s="499"/>
      <c r="K5" s="523"/>
      <c r="L5" s="511" t="s">
        <v>182</v>
      </c>
      <c r="M5" s="512"/>
      <c r="N5" s="512"/>
      <c r="O5" s="512"/>
      <c r="P5" s="513"/>
      <c r="Q5" s="498" t="s">
        <v>183</v>
      </c>
      <c r="R5" s="499"/>
      <c r="S5" s="499"/>
      <c r="T5" s="499"/>
      <c r="U5" s="500"/>
      <c r="V5" s="452" t="str">
        <f>IF(W6&gt;0,INDEX(V12:V23,W6,1),"Проверка")</f>
        <v>Проверка</v>
      </c>
    </row>
    <row r="6" spans="1:44" ht="83.25" customHeight="1" thickBot="1" x14ac:dyDescent="0.3">
      <c r="A6" s="518"/>
      <c r="B6" s="510"/>
      <c r="C6" s="520"/>
      <c r="D6" s="90" t="s">
        <v>2</v>
      </c>
      <c r="E6" s="87" t="s">
        <v>185</v>
      </c>
      <c r="F6" s="91" t="s">
        <v>112</v>
      </c>
      <c r="G6" s="92" t="s">
        <v>175</v>
      </c>
      <c r="H6" s="90" t="s">
        <v>2</v>
      </c>
      <c r="I6" s="87" t="s">
        <v>184</v>
      </c>
      <c r="J6" s="91" t="s">
        <v>179</v>
      </c>
      <c r="K6" s="93" t="s">
        <v>174</v>
      </c>
      <c r="L6" s="88" t="s">
        <v>155</v>
      </c>
      <c r="M6" s="88" t="s">
        <v>166</v>
      </c>
      <c r="N6" s="88" t="s">
        <v>157</v>
      </c>
      <c r="O6" s="88" t="s">
        <v>167</v>
      </c>
      <c r="P6" s="89" t="s">
        <v>168</v>
      </c>
      <c r="Q6" s="22" t="s">
        <v>90</v>
      </c>
      <c r="R6" s="20" t="s">
        <v>91</v>
      </c>
      <c r="S6" s="20" t="s">
        <v>92</v>
      </c>
      <c r="T6" s="20" t="s">
        <v>93</v>
      </c>
      <c r="U6" s="21" t="s">
        <v>65</v>
      </c>
      <c r="V6" s="452"/>
    </row>
    <row r="7" spans="1:44" ht="15.75" customHeight="1" thickBot="1" x14ac:dyDescent="0.3">
      <c r="A7" s="229">
        <v>1</v>
      </c>
      <c r="B7" s="19"/>
      <c r="C7" s="139">
        <v>2</v>
      </c>
      <c r="D7" s="128">
        <v>3</v>
      </c>
      <c r="E7" s="129" t="s">
        <v>113</v>
      </c>
      <c r="F7" s="130" t="s">
        <v>114</v>
      </c>
      <c r="G7" s="131" t="s">
        <v>115</v>
      </c>
      <c r="H7" s="128">
        <v>4</v>
      </c>
      <c r="I7" s="132" t="s">
        <v>116</v>
      </c>
      <c r="J7" s="133" t="s">
        <v>117</v>
      </c>
      <c r="K7" s="134" t="s">
        <v>118</v>
      </c>
      <c r="L7" s="135" t="s">
        <v>169</v>
      </c>
      <c r="M7" s="225" t="s">
        <v>170</v>
      </c>
      <c r="N7" s="214" t="s">
        <v>171</v>
      </c>
      <c r="O7" s="226" t="s">
        <v>172</v>
      </c>
      <c r="P7" s="131" t="s">
        <v>173</v>
      </c>
      <c r="Q7" s="136">
        <v>5</v>
      </c>
      <c r="R7" s="137">
        <v>6</v>
      </c>
      <c r="S7" s="137">
        <v>7</v>
      </c>
      <c r="T7" s="137">
        <v>8</v>
      </c>
      <c r="U7" s="138">
        <v>9</v>
      </c>
      <c r="V7" s="452"/>
    </row>
    <row r="8" spans="1:44" s="94" customFormat="1" ht="36.75" customHeight="1" thickBot="1" x14ac:dyDescent="0.3">
      <c r="A8" s="501" t="s">
        <v>176</v>
      </c>
      <c r="B8" s="95">
        <v>1</v>
      </c>
      <c r="C8" s="180" t="s">
        <v>2</v>
      </c>
      <c r="D8" s="382">
        <f>F8+G8</f>
        <v>1200</v>
      </c>
      <c r="E8" s="383">
        <v>1200</v>
      </c>
      <c r="F8" s="384">
        <v>650</v>
      </c>
      <c r="G8" s="385">
        <v>550</v>
      </c>
      <c r="H8" s="382">
        <f t="shared" ref="H8:H15" si="0">J8+K8</f>
        <v>747</v>
      </c>
      <c r="I8" s="383">
        <v>747</v>
      </c>
      <c r="J8" s="384">
        <v>390</v>
      </c>
      <c r="K8" s="385">
        <v>357</v>
      </c>
      <c r="L8" s="386">
        <v>281</v>
      </c>
      <c r="M8" s="387">
        <v>16</v>
      </c>
      <c r="N8" s="240">
        <f t="shared" ref="N8:N15" si="1">O8+P8</f>
        <v>450</v>
      </c>
      <c r="O8" s="388">
        <v>445</v>
      </c>
      <c r="P8" s="385">
        <v>5</v>
      </c>
      <c r="Q8" s="386"/>
      <c r="R8" s="384">
        <v>744</v>
      </c>
      <c r="S8" s="384">
        <v>3</v>
      </c>
      <c r="T8" s="384"/>
      <c r="U8" s="385"/>
      <c r="V8" s="23" t="str">
        <f>IF(X8&gt;0,"гр.4 ≠ гр.6+гр.7 по строке "&amp;W8,"ОК")</f>
        <v>ОК</v>
      </c>
      <c r="W8" s="24" t="str">
        <f t="shared" ref="W8:W15" si="2">IF(X8&gt;0,INDEX($B$8:$B$19,X8,1),CHAR(151))</f>
        <v>—</v>
      </c>
      <c r="X8" s="25">
        <f t="shared" ref="X8:X12" si="3">IF(ISERROR(MATCH(FALSE,Z8:AK8,0)),0,MATCH(FALSE,Z8:AK8,0))</f>
        <v>0</v>
      </c>
      <c r="Y8" s="26" t="s">
        <v>67</v>
      </c>
      <c r="Z8" s="25" t="b">
        <f>$H8=SUM($R8:$S8)</f>
        <v>1</v>
      </c>
      <c r="AA8" s="25" t="b">
        <f>$H9=SUM($R9:$S9)</f>
        <v>1</v>
      </c>
      <c r="AB8" s="25" t="b">
        <f>$H10=SUM($R10:$S10)</f>
        <v>1</v>
      </c>
      <c r="AC8" s="25" t="b">
        <f>$H11=SUM($R11:$S11)</f>
        <v>1</v>
      </c>
      <c r="AD8" s="25" t="b">
        <f>$H12=SUM($R12:$S12)</f>
        <v>1</v>
      </c>
      <c r="AE8" s="25" t="b">
        <f>$H13=SUM($R13:$S13)</f>
        <v>1</v>
      </c>
      <c r="AF8" s="25" t="b">
        <f>$H14=SUM($R14:$S14)</f>
        <v>1</v>
      </c>
      <c r="AG8" s="25" t="b">
        <f>$H15=SUM($R15:$S15)</f>
        <v>1</v>
      </c>
      <c r="AH8" s="25" t="b">
        <f>$H16=SUM($R16:$S16)</f>
        <v>1</v>
      </c>
      <c r="AI8" s="272" t="b">
        <f>$H17=SUM($R17:$S17)</f>
        <v>1</v>
      </c>
      <c r="AJ8" s="272" t="b">
        <f>$H18=SUM($R18:$S18)</f>
        <v>1</v>
      </c>
      <c r="AK8" s="272" t="b">
        <f>$H19=SUM($R19:$S19)</f>
        <v>1</v>
      </c>
    </row>
    <row r="9" spans="1:44" s="94" customFormat="1" ht="39.75" customHeight="1" x14ac:dyDescent="0.25">
      <c r="A9" s="502"/>
      <c r="B9" s="194">
        <v>2</v>
      </c>
      <c r="C9" s="191" t="s">
        <v>214</v>
      </c>
      <c r="D9" s="389">
        <f>F9+G9</f>
        <v>120</v>
      </c>
      <c r="E9" s="182">
        <v>120</v>
      </c>
      <c r="F9" s="177">
        <v>65</v>
      </c>
      <c r="G9" s="178">
        <v>55</v>
      </c>
      <c r="H9" s="389">
        <f t="shared" si="0"/>
        <v>90</v>
      </c>
      <c r="I9" s="182">
        <v>90</v>
      </c>
      <c r="J9" s="177">
        <v>41</v>
      </c>
      <c r="K9" s="178">
        <v>49</v>
      </c>
      <c r="L9" s="179">
        <v>18</v>
      </c>
      <c r="M9" s="185">
        <v>3</v>
      </c>
      <c r="N9" s="241">
        <f t="shared" si="1"/>
        <v>69</v>
      </c>
      <c r="O9" s="188">
        <v>67</v>
      </c>
      <c r="P9" s="178">
        <v>2</v>
      </c>
      <c r="Q9" s="179"/>
      <c r="R9" s="177">
        <v>88</v>
      </c>
      <c r="S9" s="177">
        <v>2</v>
      </c>
      <c r="T9" s="177"/>
      <c r="U9" s="178"/>
      <c r="V9" s="23" t="str">
        <f>IF(X9&gt;0,"гр.5 &gt;= гр.4 по строке "&amp;W9,"ОК")</f>
        <v>ОК</v>
      </c>
      <c r="W9" s="24" t="str">
        <f t="shared" si="2"/>
        <v>—</v>
      </c>
      <c r="X9" s="25">
        <f t="shared" si="3"/>
        <v>0</v>
      </c>
      <c r="Y9" s="26" t="s">
        <v>69</v>
      </c>
      <c r="Z9" s="25" t="b">
        <f>IF(OR($Q8&lt;&gt;0,$H8&lt;&gt;0),$Q8&lt;$H8,TRUE)</f>
        <v>1</v>
      </c>
      <c r="AA9" s="272" t="b">
        <f>IF(OR($Q9&lt;&gt;0,$H9&lt;&gt;0),$Q9&lt;$H9,TRUE)</f>
        <v>1</v>
      </c>
      <c r="AB9" s="272" t="b">
        <f>IF(OR($Q10&lt;&gt;0,$H10&lt;&gt;0),$Q10&lt;$H10,TRUE)</f>
        <v>1</v>
      </c>
      <c r="AC9" s="272" t="b">
        <f>IF(OR($Q11&lt;&gt;0,$H11&lt;&gt;0),$Q11&lt;$H11,TRUE)</f>
        <v>1</v>
      </c>
      <c r="AD9" s="272" t="b">
        <f>IF(OR($Q12&lt;&gt;0,$H12&lt;&gt;0),$Q12&lt;$H12,TRUE)</f>
        <v>1</v>
      </c>
      <c r="AE9" s="272" t="b">
        <f>IF(OR($Q13&lt;&gt;0,$H13&lt;&gt;0),$Q13&lt;$H13,TRUE)</f>
        <v>1</v>
      </c>
      <c r="AF9" s="272" t="b">
        <f>IF(OR($Q14&lt;&gt;0,$H14&lt;&gt;0),$Q14&lt;$H14,TRUE)</f>
        <v>1</v>
      </c>
      <c r="AG9" s="272" t="b">
        <f>IF(OR($Q15&lt;&gt;0,$H15&lt;&gt;0),$Q15&lt;$H15,TRUE)</f>
        <v>1</v>
      </c>
      <c r="AH9" s="272" t="b">
        <f>IF(OR($Q16&lt;&gt;0,$H16&lt;&gt;0),$Q16&lt;$H16,TRUE)</f>
        <v>1</v>
      </c>
      <c r="AI9" s="272" t="b">
        <f>IF(OR($Q17&lt;&gt;0,$H17&lt;&gt;0),$Q17&lt;$H17,TRUE)</f>
        <v>1</v>
      </c>
      <c r="AJ9" s="272" t="b">
        <f>IF(OR($Q18&lt;&gt;0,$H18&lt;&gt;0),$Q18&lt;$H18,TRUE)</f>
        <v>1</v>
      </c>
      <c r="AK9" s="272" t="b">
        <f>IF(OR($Q19&lt;&gt;0,$H19&lt;&gt;0),$Q19&lt;$H19,TRUE)</f>
        <v>1</v>
      </c>
    </row>
    <row r="10" spans="1:44" ht="33" x14ac:dyDescent="0.25">
      <c r="A10" s="502"/>
      <c r="B10" s="192">
        <v>3</v>
      </c>
      <c r="C10" s="173" t="s">
        <v>66</v>
      </c>
      <c r="D10" s="390">
        <f t="shared" ref="D10:D15" si="4">F10+G10</f>
        <v>1100</v>
      </c>
      <c r="E10" s="183">
        <v>1100</v>
      </c>
      <c r="F10" s="27">
        <v>600</v>
      </c>
      <c r="G10" s="28">
        <v>500</v>
      </c>
      <c r="H10" s="390">
        <f t="shared" si="0"/>
        <v>647</v>
      </c>
      <c r="I10" s="183">
        <v>647</v>
      </c>
      <c r="J10" s="27">
        <v>340</v>
      </c>
      <c r="K10" s="28">
        <v>307</v>
      </c>
      <c r="L10" s="29">
        <v>212</v>
      </c>
      <c r="M10" s="186">
        <v>16</v>
      </c>
      <c r="N10" s="242">
        <f t="shared" si="1"/>
        <v>419</v>
      </c>
      <c r="O10" s="189">
        <v>414</v>
      </c>
      <c r="P10" s="28">
        <v>5</v>
      </c>
      <c r="Q10" s="29"/>
      <c r="R10" s="27">
        <v>645</v>
      </c>
      <c r="S10" s="27">
        <v>2</v>
      </c>
      <c r="T10" s="27"/>
      <c r="U10" s="28"/>
      <c r="V10" s="23" t="str">
        <f>IF(X10&gt;0,"гр.8 &gt;= гр.4 по строке "&amp;W10,"ОК")</f>
        <v>ОК</v>
      </c>
      <c r="W10" s="24" t="str">
        <f t="shared" si="2"/>
        <v>—</v>
      </c>
      <c r="X10" s="25">
        <f t="shared" si="3"/>
        <v>0</v>
      </c>
      <c r="Y10" s="26" t="s">
        <v>70</v>
      </c>
      <c r="Z10" s="25" t="b">
        <f>IF(OR($T8&lt;&gt;0,$H8&lt;&gt;0),$T8&lt;$H8,TRUE)</f>
        <v>1</v>
      </c>
      <c r="AA10" s="272" t="b">
        <f>IF(OR($T9&lt;&gt;0,$H9&lt;&gt;0),$T9&lt;$H9,TRUE)</f>
        <v>1</v>
      </c>
      <c r="AB10" s="272" t="b">
        <f>IF(OR($T10&lt;&gt;0,$H10&lt;&gt;0),$T10&lt;$H10,TRUE)</f>
        <v>1</v>
      </c>
      <c r="AC10" s="272" t="b">
        <f>IF(OR($T11&lt;&gt;0,$H11&lt;&gt;0),$T11&lt;$H11,TRUE)</f>
        <v>1</v>
      </c>
      <c r="AD10" s="272" t="b">
        <f>IF(OR($T12&lt;&gt;0,$H12&lt;&gt;0),$T12&lt;$H12,TRUE)</f>
        <v>1</v>
      </c>
      <c r="AE10" s="272" t="b">
        <f>IF(OR($T13&lt;&gt;0,$H13&lt;&gt;0),$T13&lt;$H13,TRUE)</f>
        <v>1</v>
      </c>
      <c r="AF10" s="272" t="b">
        <f>IF(OR($T14&lt;&gt;0,$H14&lt;&gt;0),$T14&lt;$H14,TRUE)</f>
        <v>1</v>
      </c>
      <c r="AG10" s="272" t="b">
        <f>IF(OR($T15&lt;&gt;0,$H15&lt;&gt;0),$T15&lt;$H15,TRUE)</f>
        <v>1</v>
      </c>
      <c r="AH10" s="272" t="b">
        <f>IF(OR($T16&lt;&gt;0,$H16&lt;&gt;0),$T16&lt;$H16,TRUE)</f>
        <v>1</v>
      </c>
      <c r="AI10" s="272" t="b">
        <f>IF(OR($T17&lt;&gt;0,$H17&lt;&gt;0),$T17&lt;$H17,TRUE)</f>
        <v>1</v>
      </c>
      <c r="AJ10" s="272" t="b">
        <f>IF(OR($T18&lt;&gt;0,$H18&lt;&gt;0),$T18&lt;$H18,TRUE)</f>
        <v>1</v>
      </c>
      <c r="AK10" s="272" t="b">
        <f>IF(OR($T19&lt;&gt;0,$H19&lt;&gt;0),$T19&lt;$H19,TRUE)</f>
        <v>1</v>
      </c>
    </row>
    <row r="11" spans="1:44" ht="33.75" customHeight="1" thickBot="1" x14ac:dyDescent="0.3">
      <c r="A11" s="503"/>
      <c r="B11" s="193">
        <v>4</v>
      </c>
      <c r="C11" s="174" t="s">
        <v>68</v>
      </c>
      <c r="D11" s="391">
        <f t="shared" si="4"/>
        <v>100</v>
      </c>
      <c r="E11" s="184">
        <v>100</v>
      </c>
      <c r="F11" s="30">
        <v>50</v>
      </c>
      <c r="G11" s="31">
        <v>50</v>
      </c>
      <c r="H11" s="391">
        <f t="shared" si="0"/>
        <v>100</v>
      </c>
      <c r="I11" s="184">
        <v>100</v>
      </c>
      <c r="J11" s="30">
        <v>50</v>
      </c>
      <c r="K11" s="31">
        <v>50</v>
      </c>
      <c r="L11" s="32">
        <v>69</v>
      </c>
      <c r="M11" s="187"/>
      <c r="N11" s="243">
        <f t="shared" si="1"/>
        <v>31</v>
      </c>
      <c r="O11" s="190">
        <v>31</v>
      </c>
      <c r="P11" s="31"/>
      <c r="Q11" s="32"/>
      <c r="R11" s="30">
        <v>99</v>
      </c>
      <c r="S11" s="30">
        <v>1</v>
      </c>
      <c r="T11" s="30"/>
      <c r="U11" s="31"/>
      <c r="V11" s="23" t="str">
        <f>IF(X11&gt;0,"гр.8 &gt; гр.5 по строке "&amp;W11,"ОК")</f>
        <v>ОК</v>
      </c>
      <c r="W11" s="24" t="str">
        <f t="shared" si="2"/>
        <v>—</v>
      </c>
      <c r="X11" s="25">
        <f t="shared" si="3"/>
        <v>0</v>
      </c>
      <c r="Y11" s="26" t="s">
        <v>71</v>
      </c>
      <c r="Z11" s="25" t="b">
        <f>$T8&lt;=$Q8</f>
        <v>1</v>
      </c>
      <c r="AA11" s="25" t="b">
        <f>$T9&lt;=$Q9</f>
        <v>1</v>
      </c>
      <c r="AB11" s="25" t="b">
        <f>$T10&lt;=$Q10</f>
        <v>1</v>
      </c>
      <c r="AC11" s="25" t="b">
        <f>$T11&lt;=$Q11</f>
        <v>1</v>
      </c>
      <c r="AD11" s="25" t="b">
        <f>$T12&lt;=$Q12</f>
        <v>1</v>
      </c>
      <c r="AE11" s="25" t="b">
        <f>$T13&lt;=$Q13</f>
        <v>1</v>
      </c>
      <c r="AF11" s="25" t="b">
        <f>$T14&lt;=$Q14</f>
        <v>1</v>
      </c>
      <c r="AG11" s="25" t="b">
        <f>$T15&lt;=$Q15</f>
        <v>1</v>
      </c>
      <c r="AH11" s="25" t="b">
        <f>$T16&lt;=$Q16</f>
        <v>1</v>
      </c>
      <c r="AI11" s="25" t="b">
        <f>$T17&lt;=$Q17</f>
        <v>1</v>
      </c>
      <c r="AJ11" s="25" t="b">
        <f>$T18&lt;=$Q18</f>
        <v>1</v>
      </c>
      <c r="AK11" s="25" t="b">
        <f>$T19&lt;=$Q19</f>
        <v>1</v>
      </c>
    </row>
    <row r="12" spans="1:44" s="94" customFormat="1" ht="37.5" customHeight="1" thickBot="1" x14ac:dyDescent="0.3">
      <c r="A12" s="504" t="s">
        <v>177</v>
      </c>
      <c r="B12" s="198">
        <v>5</v>
      </c>
      <c r="C12" s="199" t="s">
        <v>2</v>
      </c>
      <c r="D12" s="392">
        <f t="shared" si="4"/>
        <v>200</v>
      </c>
      <c r="E12" s="383">
        <v>200</v>
      </c>
      <c r="F12" s="343">
        <v>100</v>
      </c>
      <c r="G12" s="344">
        <v>100</v>
      </c>
      <c r="H12" s="392">
        <f t="shared" si="0"/>
        <v>200</v>
      </c>
      <c r="I12" s="383">
        <v>200</v>
      </c>
      <c r="J12" s="343">
        <v>100</v>
      </c>
      <c r="K12" s="344">
        <v>100</v>
      </c>
      <c r="L12" s="342">
        <v>199</v>
      </c>
      <c r="M12" s="393"/>
      <c r="N12" s="244">
        <f t="shared" si="1"/>
        <v>1</v>
      </c>
      <c r="O12" s="394">
        <v>1</v>
      </c>
      <c r="P12" s="344"/>
      <c r="Q12" s="342"/>
      <c r="R12" s="343">
        <v>200</v>
      </c>
      <c r="S12" s="343"/>
      <c r="T12" s="343"/>
      <c r="U12" s="344"/>
      <c r="V12" s="23" t="str">
        <f>IF(X12&gt;0,"гр.9 &gt;= гр.4 по строке "&amp;W12,"ОК")</f>
        <v>ОК</v>
      </c>
      <c r="W12" s="24" t="str">
        <f t="shared" si="2"/>
        <v>—</v>
      </c>
      <c r="X12" s="25">
        <f t="shared" si="3"/>
        <v>0</v>
      </c>
      <c r="Y12" s="26" t="s">
        <v>72</v>
      </c>
      <c r="Z12" s="25" t="b">
        <f>IF(OR($U8&lt;&gt;0,$H8&lt;&gt;0),$U8&lt;$H8,TRUE)</f>
        <v>1</v>
      </c>
      <c r="AA12" s="25" t="b">
        <f>IF(OR($U9&lt;&gt;0,$H9&lt;&gt;0),$U9&lt;$H9,TRUE)</f>
        <v>1</v>
      </c>
      <c r="AB12" s="25" t="b">
        <f>IF(OR($U10&lt;&gt;0,$H10&lt;&gt;0),$U10&lt;$H10,TRUE)</f>
        <v>1</v>
      </c>
      <c r="AC12" s="25" t="b">
        <f>IF(OR($U11&lt;&gt;0,$H11&lt;&gt;0),$U11&lt;$H11,TRUE)</f>
        <v>1</v>
      </c>
      <c r="AD12" s="25" t="b">
        <f>IF(OR($U12&lt;&gt;0,$H12&lt;&gt;0),$U12&lt;$H12,TRUE)</f>
        <v>1</v>
      </c>
      <c r="AE12" s="25" t="b">
        <f>IF(OR($U13&lt;&gt;0,$H13&lt;&gt;0),$U13&lt;$H13,TRUE)</f>
        <v>1</v>
      </c>
      <c r="AF12" s="25" t="b">
        <f>IF(OR($U14&lt;&gt;0,$H14&lt;&gt;0),$U14&lt;$H14,TRUE)</f>
        <v>1</v>
      </c>
      <c r="AG12" s="25" t="b">
        <f>IF(OR($U15&lt;&gt;0,$H15&lt;&gt;0),$U15&lt;$H15,TRUE)</f>
        <v>1</v>
      </c>
      <c r="AH12" s="25" t="b">
        <f>IF(OR($U16&lt;&gt;0,$H16&lt;&gt;0),$U16&lt;$H16,TRUE)</f>
        <v>1</v>
      </c>
      <c r="AI12" s="25" t="b">
        <f>IF(OR($U17&lt;&gt;0,$H17&lt;&gt;0),$U17&lt;$H17,TRUE)</f>
        <v>1</v>
      </c>
      <c r="AJ12" s="25" t="b">
        <f>IF(OR($U18&lt;&gt;0,$H18&lt;&gt;0),$U18&lt;$H18,TRUE)</f>
        <v>1</v>
      </c>
      <c r="AK12" s="25" t="b">
        <f>IF(OR($U19&lt;&gt;0,$H19&lt;&gt;0),$U19&lt;$H19,TRUE)</f>
        <v>1</v>
      </c>
    </row>
    <row r="13" spans="1:44" s="94" customFormat="1" ht="34.5" customHeight="1" x14ac:dyDescent="0.25">
      <c r="A13" s="505"/>
      <c r="B13" s="194">
        <v>6</v>
      </c>
      <c r="C13" s="191" t="s">
        <v>214</v>
      </c>
      <c r="D13" s="233">
        <f t="shared" si="4"/>
        <v>20</v>
      </c>
      <c r="E13" s="182">
        <v>20</v>
      </c>
      <c r="F13" s="200">
        <v>10</v>
      </c>
      <c r="G13" s="201">
        <v>10</v>
      </c>
      <c r="H13" s="233">
        <f t="shared" si="0"/>
        <v>20</v>
      </c>
      <c r="I13" s="182">
        <v>20</v>
      </c>
      <c r="J13" s="200">
        <v>10</v>
      </c>
      <c r="K13" s="201">
        <v>10</v>
      </c>
      <c r="L13" s="202">
        <v>19</v>
      </c>
      <c r="M13" s="345"/>
      <c r="N13" s="245">
        <f>O13+P13</f>
        <v>1</v>
      </c>
      <c r="O13" s="348">
        <v>1</v>
      </c>
      <c r="P13" s="201"/>
      <c r="Q13" s="202"/>
      <c r="R13" s="200">
        <v>20</v>
      </c>
      <c r="S13" s="200"/>
      <c r="T13" s="200"/>
      <c r="U13" s="201"/>
      <c r="V13" s="23" t="str">
        <f>IF(X13&gt;0,"гр.3.1 &gt; гр.3 по строке "&amp;W13,"ОК")</f>
        <v>ОК</v>
      </c>
      <c r="W13" s="24" t="str">
        <f t="shared" si="2"/>
        <v>—</v>
      </c>
      <c r="X13" s="25">
        <f>IF(ISERROR(MATCH(FALSE,Z13:AK13,0)),0,MATCH(FALSE,Z13:AK13,0))</f>
        <v>0</v>
      </c>
      <c r="Y13" s="26" t="s">
        <v>119</v>
      </c>
      <c r="Z13" s="25" t="b">
        <f>$E8&lt;=$D8</f>
        <v>1</v>
      </c>
      <c r="AA13" s="25" t="b">
        <f>$E9&lt;=$D9</f>
        <v>1</v>
      </c>
      <c r="AB13" s="25" t="b">
        <f>$E10&lt;=$D10</f>
        <v>1</v>
      </c>
      <c r="AC13" s="25" t="b">
        <f>$E11&lt;=$D11</f>
        <v>1</v>
      </c>
      <c r="AD13" s="25" t="b">
        <f>$E12&lt;=$D12</f>
        <v>1</v>
      </c>
      <c r="AE13" s="25" t="b">
        <f>$E13&lt;=$D13</f>
        <v>1</v>
      </c>
      <c r="AF13" s="25" t="b">
        <f>$E14&lt;=$D14</f>
        <v>1</v>
      </c>
      <c r="AG13" s="25" t="b">
        <f>$E15&lt;=$D15</f>
        <v>1</v>
      </c>
      <c r="AH13" s="25" t="b">
        <f>$E16&lt;=$D16</f>
        <v>1</v>
      </c>
      <c r="AI13" s="25" t="b">
        <f>$E17&lt;=$D17</f>
        <v>1</v>
      </c>
      <c r="AJ13" s="25" t="b">
        <f>$E18&lt;=$D18</f>
        <v>1</v>
      </c>
      <c r="AK13" s="25" t="b">
        <f>$E19&lt;=$D19</f>
        <v>1</v>
      </c>
    </row>
    <row r="14" spans="1:44" ht="33" x14ac:dyDescent="0.25">
      <c r="A14" s="505"/>
      <c r="B14" s="203">
        <v>7</v>
      </c>
      <c r="C14" s="204" t="s">
        <v>66</v>
      </c>
      <c r="D14" s="234">
        <f t="shared" si="4"/>
        <v>180</v>
      </c>
      <c r="E14" s="183">
        <v>180</v>
      </c>
      <c r="F14" s="205">
        <v>90</v>
      </c>
      <c r="G14" s="206">
        <v>90</v>
      </c>
      <c r="H14" s="234">
        <f t="shared" si="0"/>
        <v>180</v>
      </c>
      <c r="I14" s="183">
        <v>180</v>
      </c>
      <c r="J14" s="205">
        <v>90</v>
      </c>
      <c r="K14" s="206">
        <v>90</v>
      </c>
      <c r="L14" s="207">
        <v>179</v>
      </c>
      <c r="M14" s="346"/>
      <c r="N14" s="246">
        <f t="shared" si="1"/>
        <v>1</v>
      </c>
      <c r="O14" s="349">
        <v>1</v>
      </c>
      <c r="P14" s="206"/>
      <c r="Q14" s="207"/>
      <c r="R14" s="205">
        <v>180</v>
      </c>
      <c r="S14" s="205"/>
      <c r="T14" s="205"/>
      <c r="U14" s="206"/>
      <c r="V14" s="23" t="str">
        <f>IF(X14&gt;0,"гр.4 ≠ гр.4.2+гр.4.3 по строке "&amp;W14,"ОК")</f>
        <v>ОК</v>
      </c>
      <c r="W14" s="24" t="str">
        <f t="shared" si="2"/>
        <v>—</v>
      </c>
      <c r="X14" s="25">
        <f t="shared" ref="X14" si="5">IF(ISERROR(MATCH(FALSE,Z14:AK14,0)),0,MATCH(FALSE,Z14:AK14,0))</f>
        <v>0</v>
      </c>
      <c r="Y14" s="26" t="s">
        <v>180</v>
      </c>
      <c r="Z14" s="25" t="b">
        <f>$H8=SUM($J8:$K8)</f>
        <v>1</v>
      </c>
      <c r="AA14" s="25" t="b">
        <f>$H9=SUM($J9:$K9)</f>
        <v>1</v>
      </c>
      <c r="AB14" s="25" t="b">
        <f>$H10=SUM($J10:$K10)</f>
        <v>1</v>
      </c>
      <c r="AC14" s="25" t="b">
        <f>$H11=SUM($J11:$K11)</f>
        <v>1</v>
      </c>
      <c r="AD14" s="25" t="b">
        <f>$H12=SUM($J12:$K12)</f>
        <v>1</v>
      </c>
      <c r="AE14" s="25" t="b">
        <f>$H13=SUM($J13:$K13)</f>
        <v>1</v>
      </c>
      <c r="AF14" s="25" t="b">
        <f>$H14=SUM($J14:$K14)</f>
        <v>1</v>
      </c>
      <c r="AG14" s="25" t="b">
        <f>$H15=SUM($J15:$K15)</f>
        <v>1</v>
      </c>
      <c r="AH14" s="25" t="b">
        <f>$H16=SUM($J16:$K16)</f>
        <v>1</v>
      </c>
      <c r="AI14" s="25" t="b">
        <f>$H17=SUM($J17:$K17)</f>
        <v>1</v>
      </c>
      <c r="AJ14" s="25" t="b">
        <f>$H18=SUM($J18:$K18)</f>
        <v>1</v>
      </c>
      <c r="AK14" s="25" t="b">
        <f>$H19=SUM($J19:$K19)</f>
        <v>1</v>
      </c>
      <c r="AL14" s="94"/>
      <c r="AM14" s="94"/>
      <c r="AN14" s="94"/>
      <c r="AO14" s="94"/>
      <c r="AP14" s="94"/>
      <c r="AQ14" s="94"/>
      <c r="AR14" s="94"/>
    </row>
    <row r="15" spans="1:44" ht="37.5" customHeight="1" thickBot="1" x14ac:dyDescent="0.3">
      <c r="A15" s="506"/>
      <c r="B15" s="208">
        <v>8</v>
      </c>
      <c r="C15" s="209" t="s">
        <v>68</v>
      </c>
      <c r="D15" s="235">
        <f t="shared" si="4"/>
        <v>20</v>
      </c>
      <c r="E15" s="184">
        <v>20</v>
      </c>
      <c r="F15" s="210">
        <v>10</v>
      </c>
      <c r="G15" s="211">
        <v>10</v>
      </c>
      <c r="H15" s="235">
        <f t="shared" si="0"/>
        <v>20</v>
      </c>
      <c r="I15" s="184">
        <v>20</v>
      </c>
      <c r="J15" s="210">
        <v>10</v>
      </c>
      <c r="K15" s="211">
        <v>10</v>
      </c>
      <c r="L15" s="212">
        <v>20</v>
      </c>
      <c r="M15" s="347"/>
      <c r="N15" s="247">
        <f t="shared" si="1"/>
        <v>0</v>
      </c>
      <c r="O15" s="350"/>
      <c r="P15" s="211"/>
      <c r="Q15" s="212"/>
      <c r="R15" s="210">
        <v>20</v>
      </c>
      <c r="S15" s="210"/>
      <c r="T15" s="210"/>
      <c r="U15" s="211"/>
      <c r="V15" s="23" t="str">
        <f>IF(X15&gt;0,"гр.4 ≠ гр.4.4+гр.4.5+гр.4.6 по строке "&amp;W15,"ОК")</f>
        <v>ОК</v>
      </c>
      <c r="W15" s="24" t="str">
        <f t="shared" si="2"/>
        <v>—</v>
      </c>
      <c r="X15" s="25">
        <f>IF(ISERROR(MATCH(FALSE,Z15:AK15,0)),0,MATCH(FALSE,Z15:AK15,0))</f>
        <v>0</v>
      </c>
      <c r="Y15" s="26" t="s">
        <v>181</v>
      </c>
      <c r="Z15" s="25" t="b">
        <f>$H8=SUM($L8:$N8)</f>
        <v>1</v>
      </c>
      <c r="AA15" s="25" t="b">
        <f>$H9=SUM($L9:$N9)</f>
        <v>1</v>
      </c>
      <c r="AB15" s="25" t="b">
        <f>$H10=SUM($L10:$N10)</f>
        <v>1</v>
      </c>
      <c r="AC15" s="25" t="b">
        <f>$H11=SUM($L11:$N11)</f>
        <v>1</v>
      </c>
      <c r="AD15" s="25" t="b">
        <f>$H12=SUM($L12:$N12)</f>
        <v>1</v>
      </c>
      <c r="AE15" s="25" t="b">
        <f>$H13=SUM($L13:$N13)</f>
        <v>1</v>
      </c>
      <c r="AF15" s="25" t="b">
        <f>$H14=SUM($L14:$N14)</f>
        <v>1</v>
      </c>
      <c r="AG15" s="25" t="b">
        <f>$H15=SUM($L15:$N15)</f>
        <v>1</v>
      </c>
      <c r="AH15" s="25" t="b">
        <f>$H16=SUM($L16:$N16)</f>
        <v>1</v>
      </c>
      <c r="AI15" s="25" t="b">
        <f>$H17=SUM($L17:$N17)</f>
        <v>1</v>
      </c>
      <c r="AJ15" s="25" t="b">
        <f>$H18=SUM($L18:$N18)</f>
        <v>1</v>
      </c>
      <c r="AK15" s="25" t="b">
        <f>$H19=SUM($L19:$N19)</f>
        <v>1</v>
      </c>
    </row>
    <row r="16" spans="1:44" s="94" customFormat="1" ht="37.5" customHeight="1" thickBot="1" x14ac:dyDescent="0.3">
      <c r="A16" s="507" t="s">
        <v>178</v>
      </c>
      <c r="B16" s="96">
        <v>9</v>
      </c>
      <c r="C16" s="181" t="s">
        <v>2</v>
      </c>
      <c r="D16" s="236">
        <f t="shared" ref="D16:U19" si="6">D8+D12</f>
        <v>1400</v>
      </c>
      <c r="E16" s="395">
        <f t="shared" si="6"/>
        <v>1400</v>
      </c>
      <c r="F16" s="249">
        <f t="shared" si="6"/>
        <v>750</v>
      </c>
      <c r="G16" s="250">
        <f t="shared" si="6"/>
        <v>650</v>
      </c>
      <c r="H16" s="236">
        <f t="shared" si="6"/>
        <v>947</v>
      </c>
      <c r="I16" s="395">
        <f t="shared" si="6"/>
        <v>947</v>
      </c>
      <c r="J16" s="249">
        <f t="shared" si="6"/>
        <v>490</v>
      </c>
      <c r="K16" s="250">
        <f t="shared" si="6"/>
        <v>457</v>
      </c>
      <c r="L16" s="251">
        <f t="shared" si="6"/>
        <v>480</v>
      </c>
      <c r="M16" s="252">
        <f t="shared" si="6"/>
        <v>16</v>
      </c>
      <c r="N16" s="236">
        <f t="shared" si="6"/>
        <v>451</v>
      </c>
      <c r="O16" s="253">
        <f t="shared" si="6"/>
        <v>446</v>
      </c>
      <c r="P16" s="250">
        <f t="shared" si="6"/>
        <v>5</v>
      </c>
      <c r="Q16" s="251">
        <f t="shared" si="6"/>
        <v>0</v>
      </c>
      <c r="R16" s="249">
        <f t="shared" si="6"/>
        <v>944</v>
      </c>
      <c r="S16" s="249">
        <f t="shared" si="6"/>
        <v>3</v>
      </c>
      <c r="T16" s="249">
        <f t="shared" si="6"/>
        <v>0</v>
      </c>
      <c r="U16" s="250">
        <f t="shared" si="6"/>
        <v>0</v>
      </c>
      <c r="V16" s="23" t="str">
        <f>IF(X16&gt;0,"стр.1 &lt; стр.3+стр.4 по графе "&amp;W16,"ОК")</f>
        <v>ОК</v>
      </c>
      <c r="W16" s="34" t="str">
        <f>IF(X16&gt;0,INDEX($D$7:$U$7,1,X16),CHAR(151))</f>
        <v>—</v>
      </c>
      <c r="X16" s="25">
        <f>IF(ISERROR(MATCH(FALSE,Z16:AQ16,0)),0,MATCH(FALSE,Z16:AQ16,0))</f>
        <v>0</v>
      </c>
      <c r="Y16" s="26" t="s">
        <v>274</v>
      </c>
      <c r="Z16" s="273" t="b">
        <v>1</v>
      </c>
      <c r="AA16" s="25" t="b">
        <f t="shared" ref="AA16:AQ16" si="7">E8&gt;=SUM(E10:E11)</f>
        <v>1</v>
      </c>
      <c r="AB16" s="25" t="b">
        <f t="shared" si="7"/>
        <v>1</v>
      </c>
      <c r="AC16" s="25" t="b">
        <f t="shared" si="7"/>
        <v>1</v>
      </c>
      <c r="AD16" s="273" t="b">
        <v>1</v>
      </c>
      <c r="AE16" s="25" t="b">
        <f t="shared" si="7"/>
        <v>1</v>
      </c>
      <c r="AF16" s="25" t="b">
        <f t="shared" si="7"/>
        <v>1</v>
      </c>
      <c r="AG16" s="25" t="b">
        <f t="shared" si="7"/>
        <v>1</v>
      </c>
      <c r="AH16" s="25" t="b">
        <f t="shared" si="7"/>
        <v>1</v>
      </c>
      <c r="AI16" s="25" t="b">
        <f t="shared" si="7"/>
        <v>1</v>
      </c>
      <c r="AJ16" s="273" t="b">
        <v>1</v>
      </c>
      <c r="AK16" s="25" t="b">
        <f t="shared" si="7"/>
        <v>1</v>
      </c>
      <c r="AL16" s="25" t="b">
        <f t="shared" si="7"/>
        <v>1</v>
      </c>
      <c r="AM16" s="25" t="b">
        <f t="shared" si="7"/>
        <v>1</v>
      </c>
      <c r="AN16" s="25" t="b">
        <f t="shared" si="7"/>
        <v>1</v>
      </c>
      <c r="AO16" s="25" t="b">
        <f t="shared" si="7"/>
        <v>1</v>
      </c>
      <c r="AP16" s="25" t="b">
        <f t="shared" si="7"/>
        <v>1</v>
      </c>
      <c r="AQ16" s="25" t="b">
        <f t="shared" si="7"/>
        <v>1</v>
      </c>
      <c r="AR16" s="17"/>
    </row>
    <row r="17" spans="1:48" s="94" customFormat="1" ht="37.5" customHeight="1" x14ac:dyDescent="0.25">
      <c r="A17" s="507"/>
      <c r="B17" s="195">
        <v>10</v>
      </c>
      <c r="C17" s="191" t="s">
        <v>214</v>
      </c>
      <c r="D17" s="237">
        <f t="shared" si="6"/>
        <v>140</v>
      </c>
      <c r="E17" s="254">
        <f t="shared" si="6"/>
        <v>140</v>
      </c>
      <c r="F17" s="255">
        <f t="shared" si="6"/>
        <v>75</v>
      </c>
      <c r="G17" s="256">
        <f>G9+G13</f>
        <v>65</v>
      </c>
      <c r="H17" s="237">
        <f t="shared" si="6"/>
        <v>110</v>
      </c>
      <c r="I17" s="254">
        <f t="shared" si="6"/>
        <v>110</v>
      </c>
      <c r="J17" s="255">
        <f t="shared" si="6"/>
        <v>51</v>
      </c>
      <c r="K17" s="256">
        <f t="shared" si="6"/>
        <v>59</v>
      </c>
      <c r="L17" s="257">
        <f t="shared" si="6"/>
        <v>37</v>
      </c>
      <c r="M17" s="258">
        <f t="shared" si="6"/>
        <v>3</v>
      </c>
      <c r="N17" s="248">
        <f t="shared" si="6"/>
        <v>70</v>
      </c>
      <c r="O17" s="259">
        <f t="shared" si="6"/>
        <v>68</v>
      </c>
      <c r="P17" s="256">
        <f t="shared" si="6"/>
        <v>2</v>
      </c>
      <c r="Q17" s="257">
        <f t="shared" si="6"/>
        <v>0</v>
      </c>
      <c r="R17" s="255">
        <f t="shared" si="6"/>
        <v>108</v>
      </c>
      <c r="S17" s="255">
        <f t="shared" si="6"/>
        <v>2</v>
      </c>
      <c r="T17" s="255">
        <f t="shared" si="6"/>
        <v>0</v>
      </c>
      <c r="U17" s="256">
        <f t="shared" si="6"/>
        <v>0</v>
      </c>
      <c r="V17" s="46" t="str">
        <f>IF(X17&gt;0,"стр.5 &lt; стр.7+стр.8 по графе "&amp;W17,"ОК")</f>
        <v>ОК</v>
      </c>
      <c r="W17" s="34" t="str">
        <f>IF(X17&gt;0,INDEX($D$7:$U$7,1,X17),CHAR(151))</f>
        <v>—</v>
      </c>
      <c r="X17" s="25">
        <f>IF(ISERROR(MATCH(FALSE,Z17:AQ17,0)),0,MATCH(FALSE,Z17:AQ17,0))</f>
        <v>0</v>
      </c>
      <c r="Y17" s="26" t="s">
        <v>275</v>
      </c>
      <c r="Z17" s="273" t="b">
        <v>1</v>
      </c>
      <c r="AA17" s="25" t="b">
        <f>E12&gt;=SUM(E14:E15)</f>
        <v>1</v>
      </c>
      <c r="AB17" s="25" t="b">
        <f t="shared" ref="AB17:AQ17" si="8">F12&gt;=SUM(F14:F15)</f>
        <v>1</v>
      </c>
      <c r="AC17" s="25" t="b">
        <f t="shared" si="8"/>
        <v>1</v>
      </c>
      <c r="AD17" s="273" t="b">
        <v>1</v>
      </c>
      <c r="AE17" s="25" t="b">
        <f t="shared" si="8"/>
        <v>1</v>
      </c>
      <c r="AF17" s="25" t="b">
        <f t="shared" si="8"/>
        <v>1</v>
      </c>
      <c r="AG17" s="25" t="b">
        <f t="shared" si="8"/>
        <v>1</v>
      </c>
      <c r="AH17" s="25" t="b">
        <f t="shared" si="8"/>
        <v>1</v>
      </c>
      <c r="AI17" s="25" t="b">
        <f t="shared" si="8"/>
        <v>1</v>
      </c>
      <c r="AJ17" s="273" t="b">
        <v>1</v>
      </c>
      <c r="AK17" s="25" t="b">
        <f t="shared" si="8"/>
        <v>1</v>
      </c>
      <c r="AL17" s="25" t="b">
        <f t="shared" si="8"/>
        <v>1</v>
      </c>
      <c r="AM17" s="25" t="b">
        <f t="shared" si="8"/>
        <v>1</v>
      </c>
      <c r="AN17" s="25" t="b">
        <f t="shared" si="8"/>
        <v>1</v>
      </c>
      <c r="AO17" s="25" t="b">
        <f t="shared" si="8"/>
        <v>1</v>
      </c>
      <c r="AP17" s="25" t="b">
        <f t="shared" si="8"/>
        <v>1</v>
      </c>
      <c r="AQ17" s="25" t="b">
        <f t="shared" si="8"/>
        <v>1</v>
      </c>
      <c r="AR17" s="17"/>
    </row>
    <row r="18" spans="1:48" ht="51" customHeight="1" x14ac:dyDescent="0.25">
      <c r="A18" s="507"/>
      <c r="B18" s="196">
        <v>11</v>
      </c>
      <c r="C18" s="175" t="s">
        <v>66</v>
      </c>
      <c r="D18" s="238">
        <f t="shared" si="6"/>
        <v>1280</v>
      </c>
      <c r="E18" s="260">
        <f t="shared" si="6"/>
        <v>1280</v>
      </c>
      <c r="F18" s="261">
        <f t="shared" si="6"/>
        <v>690</v>
      </c>
      <c r="G18" s="262">
        <f>G10+G14</f>
        <v>590</v>
      </c>
      <c r="H18" s="238">
        <f t="shared" si="6"/>
        <v>827</v>
      </c>
      <c r="I18" s="260">
        <f t="shared" si="6"/>
        <v>827</v>
      </c>
      <c r="J18" s="261">
        <f t="shared" si="6"/>
        <v>430</v>
      </c>
      <c r="K18" s="262">
        <f t="shared" si="6"/>
        <v>397</v>
      </c>
      <c r="L18" s="263">
        <f t="shared" si="6"/>
        <v>391</v>
      </c>
      <c r="M18" s="264">
        <f t="shared" si="6"/>
        <v>16</v>
      </c>
      <c r="N18" s="238">
        <f t="shared" si="6"/>
        <v>420</v>
      </c>
      <c r="O18" s="265">
        <f t="shared" si="6"/>
        <v>415</v>
      </c>
      <c r="P18" s="262">
        <f t="shared" si="6"/>
        <v>5</v>
      </c>
      <c r="Q18" s="263">
        <f t="shared" si="6"/>
        <v>0</v>
      </c>
      <c r="R18" s="261">
        <f t="shared" si="6"/>
        <v>825</v>
      </c>
      <c r="S18" s="261">
        <f t="shared" si="6"/>
        <v>2</v>
      </c>
      <c r="T18" s="261">
        <f t="shared" si="6"/>
        <v>0</v>
      </c>
      <c r="U18" s="262">
        <f t="shared" si="6"/>
        <v>0</v>
      </c>
      <c r="V18" s="154"/>
      <c r="W18" s="216"/>
      <c r="X18" s="216"/>
      <c r="Y18" s="216"/>
      <c r="Z18" s="215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8" ht="39.75" customHeight="1" thickBot="1" x14ac:dyDescent="0.3">
      <c r="A19" s="508"/>
      <c r="B19" s="197">
        <v>12</v>
      </c>
      <c r="C19" s="176" t="s">
        <v>68</v>
      </c>
      <c r="D19" s="239">
        <f t="shared" si="6"/>
        <v>120</v>
      </c>
      <c r="E19" s="266">
        <f t="shared" si="6"/>
        <v>120</v>
      </c>
      <c r="F19" s="267">
        <f t="shared" si="6"/>
        <v>60</v>
      </c>
      <c r="G19" s="268">
        <f>G11+G15</f>
        <v>60</v>
      </c>
      <c r="H19" s="239">
        <f t="shared" si="6"/>
        <v>120</v>
      </c>
      <c r="I19" s="266">
        <f t="shared" si="6"/>
        <v>120</v>
      </c>
      <c r="J19" s="267">
        <f t="shared" si="6"/>
        <v>60</v>
      </c>
      <c r="K19" s="268">
        <f t="shared" si="6"/>
        <v>60</v>
      </c>
      <c r="L19" s="269">
        <f t="shared" si="6"/>
        <v>89</v>
      </c>
      <c r="M19" s="270">
        <f t="shared" si="6"/>
        <v>0</v>
      </c>
      <c r="N19" s="239">
        <f t="shared" si="6"/>
        <v>31</v>
      </c>
      <c r="O19" s="271">
        <f t="shared" si="6"/>
        <v>31</v>
      </c>
      <c r="P19" s="268">
        <f t="shared" si="6"/>
        <v>0</v>
      </c>
      <c r="Q19" s="269">
        <f t="shared" si="6"/>
        <v>0</v>
      </c>
      <c r="R19" s="267">
        <f t="shared" si="6"/>
        <v>119</v>
      </c>
      <c r="S19" s="267">
        <f t="shared" si="6"/>
        <v>1</v>
      </c>
      <c r="T19" s="267">
        <f t="shared" si="6"/>
        <v>0</v>
      </c>
      <c r="U19" s="268">
        <f t="shared" si="6"/>
        <v>0</v>
      </c>
      <c r="V19" s="154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</row>
    <row r="20" spans="1:48" x14ac:dyDescent="0.25">
      <c r="V20" s="154"/>
      <c r="W20" s="223"/>
      <c r="X20" s="223"/>
      <c r="Y20" s="223"/>
      <c r="Z20" s="223"/>
      <c r="AA20" s="223"/>
      <c r="AB20" s="223"/>
      <c r="AC20" s="223"/>
      <c r="AD20" s="223"/>
      <c r="AE20" s="223"/>
      <c r="AF20" s="223"/>
      <c r="AG20" s="223"/>
      <c r="AH20" s="223"/>
      <c r="AI20" s="223"/>
      <c r="AJ20" s="223"/>
      <c r="AK20" s="223"/>
      <c r="AL20" s="223"/>
      <c r="AM20" s="223"/>
      <c r="AN20" s="223"/>
      <c r="AO20" s="223"/>
      <c r="AP20" s="223"/>
      <c r="AQ20" s="223"/>
      <c r="AR20" s="223"/>
    </row>
    <row r="21" spans="1:48" s="216" customFormat="1" ht="30" customHeight="1" x14ac:dyDescent="0.3">
      <c r="A21" s="217"/>
      <c r="C21" s="217"/>
      <c r="D21" s="218"/>
      <c r="E21" s="218"/>
      <c r="F21" s="218"/>
      <c r="G21" s="219"/>
      <c r="H21" s="218"/>
      <c r="I21" s="219"/>
      <c r="J21" s="219"/>
      <c r="K21" s="220"/>
      <c r="L21" s="218"/>
      <c r="M21" s="218"/>
      <c r="N21" s="218"/>
      <c r="P21" s="221"/>
      <c r="V21" s="154"/>
      <c r="W21" s="154"/>
      <c r="X21" s="154"/>
      <c r="Y21" s="154"/>
      <c r="Z21" s="25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</row>
    <row r="22" spans="1:48" ht="15.75" customHeight="1" x14ac:dyDescent="0.25">
      <c r="G22"/>
      <c r="H22"/>
      <c r="I22"/>
      <c r="J22"/>
      <c r="K22"/>
      <c r="Z22" s="25"/>
      <c r="AS22" s="222"/>
      <c r="AT22" s="222"/>
      <c r="AU22" s="222"/>
      <c r="AV22" s="222"/>
    </row>
    <row r="23" spans="1:48" ht="141.75" x14ac:dyDescent="0.25">
      <c r="C23" s="152" t="s">
        <v>200</v>
      </c>
      <c r="D23" s="152" t="s">
        <v>188</v>
      </c>
      <c r="E23" s="152" t="s">
        <v>189</v>
      </c>
      <c r="F23" s="152" t="s">
        <v>190</v>
      </c>
      <c r="G23" s="152" t="s">
        <v>191</v>
      </c>
      <c r="H23" s="152" t="s">
        <v>192</v>
      </c>
      <c r="I23" s="152" t="s">
        <v>193</v>
      </c>
      <c r="J23" s="152" t="s">
        <v>65</v>
      </c>
      <c r="P23" s="86"/>
      <c r="Z23" s="25"/>
      <c r="AS23" s="223"/>
      <c r="AT23" s="224"/>
      <c r="AU23" s="224"/>
      <c r="AV23" s="224"/>
    </row>
    <row r="24" spans="1:48" s="154" customFormat="1" ht="12.75" customHeight="1" x14ac:dyDescent="0.25">
      <c r="A24" s="230"/>
      <c r="C24" s="150" t="s">
        <v>187</v>
      </c>
      <c r="D24" s="150" t="s">
        <v>194</v>
      </c>
      <c r="E24" s="150" t="s">
        <v>195</v>
      </c>
      <c r="F24" s="150" t="s">
        <v>196</v>
      </c>
      <c r="G24" s="150" t="s">
        <v>197</v>
      </c>
      <c r="H24" s="150" t="s">
        <v>147</v>
      </c>
      <c r="I24" s="150" t="s">
        <v>148</v>
      </c>
      <c r="J24" s="150" t="s">
        <v>198</v>
      </c>
      <c r="P24" s="156"/>
      <c r="V24" s="17"/>
      <c r="W24" s="17"/>
      <c r="X24" s="17"/>
      <c r="Y24" s="17"/>
      <c r="Z24" s="25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</row>
    <row r="25" spans="1:48" ht="23.25" customHeight="1" x14ac:dyDescent="0.25">
      <c r="C25" s="153" t="s">
        <v>199</v>
      </c>
      <c r="D25" s="151">
        <f>D16</f>
        <v>1400</v>
      </c>
      <c r="E25" s="151">
        <f>H16</f>
        <v>947</v>
      </c>
      <c r="F25" s="151">
        <f>Q16</f>
        <v>0</v>
      </c>
      <c r="G25" s="151">
        <f>R16</f>
        <v>944</v>
      </c>
      <c r="H25" s="151">
        <f>S16</f>
        <v>3</v>
      </c>
      <c r="I25" s="151">
        <f>T16</f>
        <v>0</v>
      </c>
      <c r="J25" s="151">
        <f>U16</f>
        <v>0</v>
      </c>
      <c r="Z25" s="25"/>
    </row>
    <row r="26" spans="1:48" ht="33.75" customHeight="1" x14ac:dyDescent="0.25">
      <c r="C26" s="149" t="s">
        <v>66</v>
      </c>
      <c r="D26" s="151">
        <f>D18</f>
        <v>1280</v>
      </c>
      <c r="E26" s="151">
        <f>H18</f>
        <v>827</v>
      </c>
      <c r="F26" s="151">
        <f t="shared" ref="F26:J27" si="9">Q18</f>
        <v>0</v>
      </c>
      <c r="G26" s="151">
        <f t="shared" si="9"/>
        <v>825</v>
      </c>
      <c r="H26" s="151">
        <f t="shared" si="9"/>
        <v>2</v>
      </c>
      <c r="I26" s="151">
        <f t="shared" si="9"/>
        <v>0</v>
      </c>
      <c r="J26" s="151">
        <f t="shared" si="9"/>
        <v>0</v>
      </c>
      <c r="Z26" s="25"/>
    </row>
    <row r="27" spans="1:48" ht="27" customHeight="1" x14ac:dyDescent="0.25">
      <c r="C27" s="149" t="s">
        <v>68</v>
      </c>
      <c r="D27" s="151">
        <f>D19</f>
        <v>120</v>
      </c>
      <c r="E27" s="151">
        <f>H19</f>
        <v>120</v>
      </c>
      <c r="F27" s="151">
        <f t="shared" si="9"/>
        <v>0</v>
      </c>
      <c r="G27" s="151">
        <f t="shared" si="9"/>
        <v>119</v>
      </c>
      <c r="H27" s="151">
        <f t="shared" si="9"/>
        <v>1</v>
      </c>
      <c r="I27" s="151">
        <f t="shared" si="9"/>
        <v>0</v>
      </c>
      <c r="J27" s="151">
        <f t="shared" si="9"/>
        <v>0</v>
      </c>
      <c r="Z27" s="25"/>
    </row>
    <row r="28" spans="1:48" x14ac:dyDescent="0.25">
      <c r="Z28" s="25"/>
    </row>
    <row r="29" spans="1:48" x14ac:dyDescent="0.25">
      <c r="Z29"/>
    </row>
    <row r="30" spans="1:48" x14ac:dyDescent="0.25">
      <c r="Z30"/>
    </row>
  </sheetData>
  <sheetProtection password="DB70" sheet="1" objects="1" scenarios="1" autoFilter="0"/>
  <mergeCells count="13">
    <mergeCell ref="B1:J1"/>
    <mergeCell ref="C2:F2"/>
    <mergeCell ref="A5:A6"/>
    <mergeCell ref="C5:C6"/>
    <mergeCell ref="D5:G5"/>
    <mergeCell ref="H5:K5"/>
    <mergeCell ref="V5:V7"/>
    <mergeCell ref="Q5:U5"/>
    <mergeCell ref="A8:A11"/>
    <mergeCell ref="A12:A15"/>
    <mergeCell ref="A16:A19"/>
    <mergeCell ref="B5:B6"/>
    <mergeCell ref="L5:P5"/>
  </mergeCells>
  <conditionalFormatting sqref="V8">
    <cfRule type="expression" dxfId="22" priority="16" stopIfTrue="1">
      <formula>V8&lt;&gt;"ОК"</formula>
    </cfRule>
  </conditionalFormatting>
  <conditionalFormatting sqref="V9">
    <cfRule type="expression" dxfId="21" priority="15" stopIfTrue="1">
      <formula>V9&lt;&gt;"ОК"</formula>
    </cfRule>
  </conditionalFormatting>
  <conditionalFormatting sqref="V10">
    <cfRule type="expression" dxfId="20" priority="14" stopIfTrue="1">
      <formula>V10&lt;&gt;"ОК"</formula>
    </cfRule>
  </conditionalFormatting>
  <conditionalFormatting sqref="V11">
    <cfRule type="expression" dxfId="19" priority="13" stopIfTrue="1">
      <formula>V11&lt;&gt;"ОК"</formula>
    </cfRule>
  </conditionalFormatting>
  <conditionalFormatting sqref="V12">
    <cfRule type="expression" dxfId="18" priority="11" stopIfTrue="1">
      <formula>V12&lt;&gt;"ОК"</formula>
    </cfRule>
  </conditionalFormatting>
  <conditionalFormatting sqref="V13">
    <cfRule type="expression" dxfId="17" priority="6" stopIfTrue="1">
      <formula>V13&lt;&gt;"ОК"</formula>
    </cfRule>
  </conditionalFormatting>
  <conditionalFormatting sqref="V14">
    <cfRule type="expression" dxfId="16" priority="5" stopIfTrue="1">
      <formula>V14&lt;&gt;"ОК"</formula>
    </cfRule>
  </conditionalFormatting>
  <conditionalFormatting sqref="V15">
    <cfRule type="expression" dxfId="15" priority="4" stopIfTrue="1">
      <formula>V15&lt;&gt;"ОК"</formula>
    </cfRule>
  </conditionalFormatting>
  <conditionalFormatting sqref="V16">
    <cfRule type="expression" dxfId="14" priority="2" stopIfTrue="1">
      <formula>V16&lt;&gt;"ОК"</formula>
    </cfRule>
  </conditionalFormatting>
  <conditionalFormatting sqref="V17">
    <cfRule type="expression" dxfId="13" priority="1" stopIfTrue="1">
      <formula>V17&lt;&gt;"ОК"</formula>
    </cfRule>
  </conditionalFormatting>
  <dataValidations count="1">
    <dataValidation type="custom" operator="greaterThanOrEqual" showInputMessage="1" showErrorMessage="1" errorTitle="В Н И М А Н И Е !" error="Перед заполнением таблицы НУЖНО ВНАЧАЛЕ на листе «ДВН и профосмотры» ВВЕСТИ:_x000a_1) дату и название организации;_x000a_2) Ф.И.О. гл.врача, исполнителя и ТЕЛЕФОН ИСПОЛНИТЕЛЯ._x000a_▬_x000a_В эту ячейку можно ввести ТОЛЬКО ЦЕЛОЕ ПОЛОЖИТЕЛЬНОЕ ЧИСЛО." sqref="N10:N15 I8:M15 O8:U15 E8:F15 G14:G15 G8:G12">
      <formula1>AND($A$1=TRUE,ISNUMBER(E8),E8&gt;=0,IF(ISERROR(SEARCH(",?",E8)),0,1)=0)</formula1>
    </dataValidation>
  </dataValidations>
  <pageMargins left="0.7" right="0.7" top="0.75" bottom="0.75" header="0.3" footer="0.3"/>
  <pageSetup paperSize="9"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FF0000"/>
    <pageSetUpPr fitToPage="1"/>
  </sheetPr>
  <dimension ref="A1:AI20"/>
  <sheetViews>
    <sheetView zoomScale="90" zoomScaleNormal="90" workbookViewId="0">
      <selection activeCell="M15" sqref="M15"/>
    </sheetView>
  </sheetViews>
  <sheetFormatPr defaultRowHeight="15" x14ac:dyDescent="0.25"/>
  <cols>
    <col min="1" max="1" width="7.140625" style="126" customWidth="1"/>
    <col min="2" max="2" width="31.5703125" style="168" customWidth="1"/>
    <col min="3" max="3" width="11.85546875" customWidth="1"/>
    <col min="4" max="4" width="12" customWidth="1"/>
    <col min="5" max="5" width="12.140625" customWidth="1"/>
    <col min="6" max="6" width="11.85546875" customWidth="1"/>
    <col min="7" max="7" width="15.85546875" customWidth="1"/>
    <col min="8" max="8" width="13.5703125" customWidth="1"/>
    <col min="9" max="9" width="15.42578125" customWidth="1"/>
    <col min="10" max="10" width="9.42578125" customWidth="1"/>
    <col min="11" max="11" width="10.28515625" customWidth="1"/>
    <col min="12" max="12" width="15.5703125" customWidth="1"/>
    <col min="13" max="13" width="17.7109375" customWidth="1"/>
  </cols>
  <sheetData>
    <row r="1" spans="1:35" ht="24.75" customHeight="1" x14ac:dyDescent="0.25">
      <c r="A1" s="157"/>
      <c r="B1" s="164"/>
      <c r="C1" s="4"/>
      <c r="D1" s="4"/>
      <c r="E1" s="4"/>
      <c r="F1" s="524" t="str">
        <f>IF('ДВН и профосмотр_общая '!F4&lt;&gt;"",'ДВН и профосмотр_общая '!F4,"")</f>
        <v>ГБУЗ "Нехаевская ЦРБ"</v>
      </c>
      <c r="G1" s="524"/>
      <c r="H1" s="524"/>
      <c r="I1" s="524"/>
      <c r="J1" s="524"/>
      <c r="K1" s="524"/>
      <c r="L1" s="524"/>
      <c r="M1" s="524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3" spans="1:35" ht="94.5" x14ac:dyDescent="0.25">
      <c r="A3" s="127"/>
      <c r="B3" s="158" t="s">
        <v>201</v>
      </c>
      <c r="C3" s="159" t="s">
        <v>188</v>
      </c>
      <c r="D3" s="159" t="s">
        <v>264</v>
      </c>
      <c r="E3" s="159" t="s">
        <v>189</v>
      </c>
      <c r="F3" s="159" t="s">
        <v>263</v>
      </c>
      <c r="G3" s="159" t="s">
        <v>265</v>
      </c>
      <c r="H3" s="159" t="s">
        <v>266</v>
      </c>
      <c r="I3" s="159" t="s">
        <v>267</v>
      </c>
      <c r="J3" s="159" t="s">
        <v>202</v>
      </c>
      <c r="K3" s="159" t="s">
        <v>203</v>
      </c>
      <c r="L3" s="159" t="s">
        <v>268</v>
      </c>
      <c r="M3" s="159" t="s">
        <v>269</v>
      </c>
    </row>
    <row r="4" spans="1:35" s="162" customFormat="1" ht="12.75" x14ac:dyDescent="0.2">
      <c r="A4" s="160" t="s">
        <v>187</v>
      </c>
      <c r="B4" s="165" t="s">
        <v>187</v>
      </c>
      <c r="C4" s="161" t="s">
        <v>194</v>
      </c>
      <c r="D4" s="161" t="s">
        <v>195</v>
      </c>
      <c r="E4" s="161" t="s">
        <v>196</v>
      </c>
      <c r="F4" s="161" t="s">
        <v>197</v>
      </c>
      <c r="G4" s="161" t="s">
        <v>147</v>
      </c>
      <c r="H4" s="161" t="s">
        <v>148</v>
      </c>
      <c r="I4" s="161" t="s">
        <v>198</v>
      </c>
      <c r="J4" s="161" t="s">
        <v>142</v>
      </c>
      <c r="K4" s="161" t="s">
        <v>149</v>
      </c>
      <c r="L4" s="161" t="s">
        <v>204</v>
      </c>
      <c r="M4" s="161" t="s">
        <v>150</v>
      </c>
    </row>
    <row r="5" spans="1:35" ht="15.75" x14ac:dyDescent="0.25">
      <c r="A5" s="127" t="s">
        <v>205</v>
      </c>
      <c r="B5" s="166" t="s">
        <v>270</v>
      </c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</row>
    <row r="6" spans="1:35" ht="15.75" x14ac:dyDescent="0.25">
      <c r="A6" s="127" t="s">
        <v>206</v>
      </c>
      <c r="B6" s="166" t="s">
        <v>207</v>
      </c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</row>
    <row r="7" spans="1:35" ht="15.75" x14ac:dyDescent="0.25">
      <c r="A7" s="127" t="s">
        <v>208</v>
      </c>
      <c r="B7" s="166" t="s">
        <v>271</v>
      </c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</row>
    <row r="8" spans="1:35" ht="31.5" x14ac:dyDescent="0.25">
      <c r="A8" s="127" t="s">
        <v>209</v>
      </c>
      <c r="B8" s="166" t="s">
        <v>210</v>
      </c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</row>
    <row r="9" spans="1:35" ht="15.75" x14ac:dyDescent="0.25">
      <c r="A9" s="127" t="s">
        <v>211</v>
      </c>
      <c r="B9" s="166" t="s">
        <v>272</v>
      </c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</row>
    <row r="10" spans="1:35" ht="31.5" x14ac:dyDescent="0.25">
      <c r="A10" s="127" t="s">
        <v>212</v>
      </c>
      <c r="B10" s="167" t="s">
        <v>273</v>
      </c>
      <c r="C10" s="163">
        <f>C12+C13+C15</f>
        <v>4559</v>
      </c>
      <c r="D10" s="163">
        <f t="shared" ref="D10:K10" si="0">D12+D13+D15</f>
        <v>4559</v>
      </c>
      <c r="E10" s="163">
        <f t="shared" si="0"/>
        <v>1946</v>
      </c>
      <c r="F10" s="163">
        <f t="shared" si="0"/>
        <v>1946</v>
      </c>
      <c r="G10" s="163">
        <f t="shared" si="0"/>
        <v>624</v>
      </c>
      <c r="H10" s="163">
        <f t="shared" si="0"/>
        <v>149</v>
      </c>
      <c r="I10" s="163">
        <f t="shared" si="0"/>
        <v>1173</v>
      </c>
      <c r="J10" s="163">
        <f t="shared" si="0"/>
        <v>1141</v>
      </c>
      <c r="K10" s="163">
        <f t="shared" si="0"/>
        <v>32</v>
      </c>
      <c r="L10" s="159" t="s">
        <v>227</v>
      </c>
      <c r="M10" s="159" t="s">
        <v>227</v>
      </c>
    </row>
    <row r="11" spans="1:35" ht="31.5" x14ac:dyDescent="0.25">
      <c r="A11" s="127" t="s">
        <v>213</v>
      </c>
      <c r="B11" s="166" t="s">
        <v>214</v>
      </c>
      <c r="C11" s="159">
        <f>C14+C16</f>
        <v>1516</v>
      </c>
      <c r="D11" s="159">
        <f t="shared" ref="D11:K11" si="1">D14+D16</f>
        <v>1516</v>
      </c>
      <c r="E11" s="159">
        <f t="shared" si="1"/>
        <v>480</v>
      </c>
      <c r="F11" s="159">
        <f t="shared" si="1"/>
        <v>480</v>
      </c>
      <c r="G11" s="159">
        <f t="shared" si="1"/>
        <v>40</v>
      </c>
      <c r="H11" s="159">
        <f t="shared" si="1"/>
        <v>7</v>
      </c>
      <c r="I11" s="159">
        <f t="shared" si="1"/>
        <v>433</v>
      </c>
      <c r="J11" s="159">
        <f t="shared" si="1"/>
        <v>427</v>
      </c>
      <c r="K11" s="159">
        <f t="shared" si="1"/>
        <v>6</v>
      </c>
      <c r="L11" s="159" t="s">
        <v>227</v>
      </c>
      <c r="M11" s="159" t="s">
        <v>227</v>
      </c>
    </row>
    <row r="12" spans="1:35" ht="15.75" x14ac:dyDescent="0.25">
      <c r="A12" s="127"/>
      <c r="B12" s="167" t="s">
        <v>220</v>
      </c>
      <c r="C12" s="159">
        <f>'ДВН и профосмотр_общая '!AC11</f>
        <v>515</v>
      </c>
      <c r="D12" s="159">
        <f>'ДВН и профосмотр_общая '!AD11</f>
        <v>515</v>
      </c>
      <c r="E12" s="159">
        <f>'ДВН и профосмотр_общая '!AE11</f>
        <v>367</v>
      </c>
      <c r="F12" s="159">
        <f>'ДВН и профосмотр_общая '!AF11</f>
        <v>367</v>
      </c>
      <c r="G12" s="159">
        <f>'ДВН и профосмотр_общая '!AG11</f>
        <v>83</v>
      </c>
      <c r="H12" s="159">
        <f>'ДВН и профосмотр_общая '!AH11</f>
        <v>72</v>
      </c>
      <c r="I12" s="159">
        <f>'ДВН и профосмотр_общая '!AI11</f>
        <v>212</v>
      </c>
      <c r="J12" s="159">
        <f>'ДВН и профосмотр_общая '!AJ11</f>
        <v>194</v>
      </c>
      <c r="K12" s="159">
        <f>'ДВН и профосмотр_общая '!AK11</f>
        <v>18</v>
      </c>
      <c r="L12" s="159" t="s">
        <v>227</v>
      </c>
      <c r="M12" s="159" t="s">
        <v>227</v>
      </c>
    </row>
    <row r="13" spans="1:35" ht="31.5" x14ac:dyDescent="0.25">
      <c r="A13" s="127"/>
      <c r="B13" s="167" t="s">
        <v>221</v>
      </c>
      <c r="C13" s="159">
        <f>'период. и предвар. осмотры'!D16</f>
        <v>1400</v>
      </c>
      <c r="D13" s="159">
        <f>'период. и предвар. осмотры'!E16</f>
        <v>1400</v>
      </c>
      <c r="E13" s="159">
        <f>'период. и предвар. осмотры'!H16</f>
        <v>947</v>
      </c>
      <c r="F13" s="159">
        <f>'период. и предвар. осмотры'!I16</f>
        <v>947</v>
      </c>
      <c r="G13" s="159">
        <f>'период. и предвар. осмотры'!L16</f>
        <v>480</v>
      </c>
      <c r="H13" s="159">
        <f>'период. и предвар. осмотры'!M16</f>
        <v>16</v>
      </c>
      <c r="I13" s="159">
        <f>'период. и предвар. осмотры'!N16</f>
        <v>451</v>
      </c>
      <c r="J13" s="159">
        <f>'период. и предвар. осмотры'!O16</f>
        <v>446</v>
      </c>
      <c r="K13" s="159">
        <f>'период. и предвар. осмотры'!P16</f>
        <v>5</v>
      </c>
      <c r="L13" s="159" t="s">
        <v>227</v>
      </c>
      <c r="M13" s="159" t="s">
        <v>227</v>
      </c>
    </row>
    <row r="14" spans="1:35" ht="31.5" x14ac:dyDescent="0.25">
      <c r="A14" s="127"/>
      <c r="B14" s="166" t="s">
        <v>214</v>
      </c>
      <c r="C14" s="159">
        <f>'период. и предвар. осмотры'!D17</f>
        <v>140</v>
      </c>
      <c r="D14" s="159">
        <f>'период. и предвар. осмотры'!E17</f>
        <v>140</v>
      </c>
      <c r="E14" s="159">
        <f>'период. и предвар. осмотры'!H17</f>
        <v>110</v>
      </c>
      <c r="F14" s="159">
        <f>'период. и предвар. осмотры'!I17</f>
        <v>110</v>
      </c>
      <c r="G14" s="159">
        <f>'период. и предвар. осмотры'!L17</f>
        <v>37</v>
      </c>
      <c r="H14" s="159">
        <f>'период. и предвар. осмотры'!M17</f>
        <v>3</v>
      </c>
      <c r="I14" s="159">
        <f>'период. и предвар. осмотры'!N17</f>
        <v>70</v>
      </c>
      <c r="J14" s="159">
        <f>'период. и предвар. осмотры'!O17</f>
        <v>68</v>
      </c>
      <c r="K14" s="159">
        <f>'период. и предвар. осмотры'!P17</f>
        <v>2</v>
      </c>
      <c r="L14" s="159" t="s">
        <v>227</v>
      </c>
      <c r="M14" s="159" t="s">
        <v>227</v>
      </c>
    </row>
    <row r="15" spans="1:35" ht="47.25" x14ac:dyDescent="0.25">
      <c r="A15" s="127" t="s">
        <v>215</v>
      </c>
      <c r="B15" s="167" t="s">
        <v>216</v>
      </c>
      <c r="C15" s="159">
        <f>'ДВН и профосмотр_общая '!A11</f>
        <v>2644</v>
      </c>
      <c r="D15" s="159">
        <f>'ДВН и профосмотр_общая '!B11</f>
        <v>2644</v>
      </c>
      <c r="E15" s="159">
        <f>'ДВН и профосмотр_общая '!G11</f>
        <v>632</v>
      </c>
      <c r="F15" s="159">
        <f>'ДВН и профосмотр_общая '!H11</f>
        <v>632</v>
      </c>
      <c r="G15" s="159">
        <f>'ДВН и профосмотр_общая '!Q11</f>
        <v>61</v>
      </c>
      <c r="H15" s="159">
        <f>'ДВН и профосмотр_общая '!R11</f>
        <v>61</v>
      </c>
      <c r="I15" s="159">
        <f>'ДВН и профосмотр_общая '!S11</f>
        <v>510</v>
      </c>
      <c r="J15" s="159">
        <f>'ДВН и профосмотр_общая '!T11</f>
        <v>501</v>
      </c>
      <c r="K15" s="159">
        <f>'ДВН и профосмотр_общая '!U11</f>
        <v>9</v>
      </c>
      <c r="L15" s="159" t="s">
        <v>227</v>
      </c>
      <c r="M15" s="159" t="s">
        <v>227</v>
      </c>
    </row>
    <row r="16" spans="1:35" ht="31.5" x14ac:dyDescent="0.25">
      <c r="A16" s="127" t="s">
        <v>217</v>
      </c>
      <c r="B16" s="166" t="s">
        <v>214</v>
      </c>
      <c r="C16" s="159">
        <f>'ДВН и профосмотр_общая '!C11</f>
        <v>1376</v>
      </c>
      <c r="D16" s="159">
        <f>'ДВН и профосмотр_общая '!D11</f>
        <v>1376</v>
      </c>
      <c r="E16" s="159">
        <f>'ДВН и профосмотр_общая '!I11</f>
        <v>370</v>
      </c>
      <c r="F16" s="159">
        <f>'ДВН и профосмотр_общая '!J11</f>
        <v>370</v>
      </c>
      <c r="G16" s="159">
        <f>'ДВН и профосмотр_общая '!V11</f>
        <v>3</v>
      </c>
      <c r="H16" s="159">
        <f>'ДВН и профосмотр_общая '!W11</f>
        <v>4</v>
      </c>
      <c r="I16" s="159">
        <f>'ДВН и профосмотр_общая '!X11</f>
        <v>363</v>
      </c>
      <c r="J16" s="159">
        <f>'ДВН и профосмотр_общая '!Y11</f>
        <v>359</v>
      </c>
      <c r="K16" s="159">
        <f>'ДВН и профосмотр_общая '!Z11</f>
        <v>4</v>
      </c>
      <c r="L16" s="159" t="s">
        <v>227</v>
      </c>
      <c r="M16" s="159" t="s">
        <v>227</v>
      </c>
    </row>
    <row r="17" spans="1:13" ht="22.5" customHeight="1" x14ac:dyDescent="0.25">
      <c r="A17" s="127" t="s">
        <v>218</v>
      </c>
      <c r="B17" s="167" t="s">
        <v>219</v>
      </c>
      <c r="C17" s="163">
        <f>C10</f>
        <v>4559</v>
      </c>
      <c r="D17" s="163">
        <f t="shared" ref="D17:K17" si="2">D10</f>
        <v>4559</v>
      </c>
      <c r="E17" s="163">
        <f t="shared" si="2"/>
        <v>1946</v>
      </c>
      <c r="F17" s="163">
        <f t="shared" si="2"/>
        <v>1946</v>
      </c>
      <c r="G17" s="163">
        <f t="shared" si="2"/>
        <v>624</v>
      </c>
      <c r="H17" s="163">
        <f t="shared" si="2"/>
        <v>149</v>
      </c>
      <c r="I17" s="163">
        <f t="shared" si="2"/>
        <v>1173</v>
      </c>
      <c r="J17" s="163">
        <f t="shared" si="2"/>
        <v>1141</v>
      </c>
      <c r="K17" s="163">
        <f t="shared" si="2"/>
        <v>32</v>
      </c>
      <c r="L17" s="159"/>
      <c r="M17" s="159"/>
    </row>
    <row r="19" spans="1:13" x14ac:dyDescent="0.25">
      <c r="J19" s="125"/>
    </row>
    <row r="20" spans="1:13" x14ac:dyDescent="0.25">
      <c r="M20" s="125"/>
    </row>
  </sheetData>
  <sheetProtection password="DB70" sheet="1" objects="1" scenarios="1" autoFilter="0"/>
  <mergeCells count="1">
    <mergeCell ref="F1:M1"/>
  </mergeCells>
  <dataValidations count="1"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F1">
      <formula1>Названия_учреждений</formula1>
    </dataValidation>
  </dataValidations>
  <pageMargins left="0.11811023622047245" right="0.11811023622047245" top="0.15748031496062992" bottom="0.15748031496062992" header="0.31496062992125984" footer="0.31496062992125984"/>
  <pageSetup paperSize="9" scale="77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theme="6" tint="-0.249977111117893"/>
    <pageSetUpPr fitToPage="1"/>
  </sheetPr>
  <dimension ref="A1:AG7"/>
  <sheetViews>
    <sheetView zoomScale="90" zoomScaleNormal="90" workbookViewId="0">
      <selection activeCell="B7" sqref="B7"/>
    </sheetView>
  </sheetViews>
  <sheetFormatPr defaultRowHeight="15" x14ac:dyDescent="0.25"/>
  <cols>
    <col min="1" max="1" width="32.140625" customWidth="1"/>
    <col min="2" max="2" width="13.42578125" style="126" customWidth="1"/>
    <col min="3" max="3" width="11.85546875" style="126" customWidth="1"/>
    <col min="4" max="4" width="14.28515625" style="126" customWidth="1"/>
    <col min="5" max="5" width="14.7109375" style="126" customWidth="1"/>
    <col min="6" max="6" width="18.42578125" style="126" customWidth="1"/>
    <col min="7" max="7" width="18.140625" style="126" customWidth="1"/>
    <col min="8" max="8" width="15" style="126" customWidth="1"/>
  </cols>
  <sheetData>
    <row r="1" spans="1:33" ht="24.75" customHeight="1" x14ac:dyDescent="0.25">
      <c r="A1" s="4"/>
      <c r="B1" s="16"/>
      <c r="C1" s="16"/>
      <c r="D1" s="524" t="str">
        <f>IF('ДВН и профосмотр_общая '!F4&lt;&gt;"",'ДВН и профосмотр_общая '!F4,"")</f>
        <v>ГБУЗ "Нехаевская ЦРБ"</v>
      </c>
      <c r="E1" s="524"/>
      <c r="F1" s="524"/>
      <c r="G1" s="524"/>
      <c r="H1" s="524"/>
      <c r="I1" s="524"/>
      <c r="J1" s="524"/>
      <c r="K1" s="524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3" spans="1:33" s="17" customFormat="1" ht="110.25" x14ac:dyDescent="0.25">
      <c r="A3" s="152" t="s">
        <v>200</v>
      </c>
      <c r="B3" s="152" t="s">
        <v>188</v>
      </c>
      <c r="C3" s="152" t="s">
        <v>189</v>
      </c>
      <c r="D3" s="152" t="s">
        <v>190</v>
      </c>
      <c r="E3" s="152" t="s">
        <v>191</v>
      </c>
      <c r="F3" s="152" t="s">
        <v>192</v>
      </c>
      <c r="G3" s="152" t="s">
        <v>193</v>
      </c>
      <c r="H3" s="152" t="s">
        <v>65</v>
      </c>
      <c r="N3" s="86"/>
    </row>
    <row r="4" spans="1:33" s="154" customFormat="1" ht="12.75" x14ac:dyDescent="0.2">
      <c r="A4" s="172" t="s">
        <v>187</v>
      </c>
      <c r="B4" s="155" t="s">
        <v>194</v>
      </c>
      <c r="C4" s="155" t="s">
        <v>195</v>
      </c>
      <c r="D4" s="155" t="s">
        <v>196</v>
      </c>
      <c r="E4" s="155" t="s">
        <v>197</v>
      </c>
      <c r="F4" s="155" t="s">
        <v>147</v>
      </c>
      <c r="G4" s="155" t="s">
        <v>148</v>
      </c>
      <c r="H4" s="155" t="s">
        <v>198</v>
      </c>
      <c r="N4" s="156"/>
    </row>
    <row r="5" spans="1:33" s="17" customFormat="1" ht="22.5" customHeight="1" x14ac:dyDescent="0.25">
      <c r="A5" s="170" t="s">
        <v>199</v>
      </c>
      <c r="B5" s="169">
        <f>'период. и предвар. осмотры'!D25</f>
        <v>1400</v>
      </c>
      <c r="C5" s="169">
        <f>'период. и предвар. осмотры'!E25</f>
        <v>947</v>
      </c>
      <c r="D5" s="169">
        <f>'период. и предвар. осмотры'!F25</f>
        <v>0</v>
      </c>
      <c r="E5" s="169">
        <f>'период. и предвар. осмотры'!G25</f>
        <v>944</v>
      </c>
      <c r="F5" s="169">
        <f>'период. и предвар. осмотры'!H25</f>
        <v>3</v>
      </c>
      <c r="G5" s="169">
        <f>'период. и предвар. осмотры'!I25</f>
        <v>0</v>
      </c>
      <c r="H5" s="169">
        <f>'период. и предвар. осмотры'!J25</f>
        <v>0</v>
      </c>
      <c r="N5" s="84"/>
    </row>
    <row r="6" spans="1:33" s="17" customFormat="1" ht="51.75" customHeight="1" x14ac:dyDescent="0.25">
      <c r="A6" s="171" t="s">
        <v>66</v>
      </c>
      <c r="B6" s="169">
        <f>'период. и предвар. осмотры'!D26</f>
        <v>1280</v>
      </c>
      <c r="C6" s="169">
        <f>'период. и предвар. осмотры'!E26</f>
        <v>827</v>
      </c>
      <c r="D6" s="169">
        <f>'период. и предвар. осмотры'!F26</f>
        <v>0</v>
      </c>
      <c r="E6" s="169">
        <f>'период. и предвар. осмотры'!G26</f>
        <v>825</v>
      </c>
      <c r="F6" s="169">
        <f>'период. и предвар. осмотры'!H26</f>
        <v>2</v>
      </c>
      <c r="G6" s="169">
        <f>'период. и предвар. осмотры'!I26</f>
        <v>0</v>
      </c>
      <c r="H6" s="169">
        <f>'период. и предвар. осмотры'!J26</f>
        <v>0</v>
      </c>
      <c r="N6" s="84"/>
    </row>
    <row r="7" spans="1:33" s="17" customFormat="1" ht="31.5" customHeight="1" x14ac:dyDescent="0.25">
      <c r="A7" s="171" t="s">
        <v>68</v>
      </c>
      <c r="B7" s="169">
        <f>'период. и предвар. осмотры'!D27</f>
        <v>120</v>
      </c>
      <c r="C7" s="169">
        <f>'период. и предвар. осмотры'!E27</f>
        <v>120</v>
      </c>
      <c r="D7" s="169">
        <f>'период. и предвар. осмотры'!F27</f>
        <v>0</v>
      </c>
      <c r="E7" s="169">
        <f>'период. и предвар. осмотры'!G27</f>
        <v>119</v>
      </c>
      <c r="F7" s="169">
        <f>'период. и предвар. осмотры'!H27</f>
        <v>1</v>
      </c>
      <c r="G7" s="169">
        <f>'период. и предвар. осмотры'!I27</f>
        <v>0</v>
      </c>
      <c r="H7" s="169">
        <f>'период. и предвар. осмотры'!J27</f>
        <v>0</v>
      </c>
      <c r="N7" s="84"/>
    </row>
  </sheetData>
  <sheetProtection password="DB70" sheet="1" objects="1" scenarios="1" autoFilter="0"/>
  <mergeCells count="1">
    <mergeCell ref="D1:K1"/>
  </mergeCell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theme="7" tint="0.59999389629810485"/>
    <pageSetUpPr fitToPage="1"/>
  </sheetPr>
  <dimension ref="A1:Z22"/>
  <sheetViews>
    <sheetView tabSelected="1" zoomScale="55" zoomScaleNormal="55" workbookViewId="0">
      <selection activeCell="E8" sqref="E8"/>
    </sheetView>
  </sheetViews>
  <sheetFormatPr defaultRowHeight="15" x14ac:dyDescent="0.25"/>
  <cols>
    <col min="1" max="1" width="45.5703125" customWidth="1"/>
    <col min="2" max="2" width="13.28515625" customWidth="1"/>
    <col min="3" max="3" width="16.42578125" customWidth="1"/>
    <col min="4" max="4" width="14.5703125" bestFit="1" customWidth="1"/>
    <col min="5" max="5" width="13.5703125" customWidth="1"/>
    <col min="6" max="6" width="16.85546875" customWidth="1"/>
    <col min="7" max="7" width="13.5703125" customWidth="1"/>
    <col min="8" max="8" width="18.85546875" customWidth="1"/>
    <col min="9" max="9" width="20.5703125" customWidth="1"/>
    <col min="10" max="10" width="16.7109375" customWidth="1"/>
    <col min="11" max="11" width="18.42578125" customWidth="1"/>
    <col min="12" max="12" width="13.5703125" customWidth="1"/>
    <col min="13" max="15" width="14" customWidth="1"/>
    <col min="16" max="16" width="16.42578125" customWidth="1"/>
    <col min="17" max="17" width="16" customWidth="1"/>
    <col min="18" max="18" width="17.7109375" customWidth="1"/>
    <col min="19" max="19" width="17.42578125" customWidth="1"/>
    <col min="20" max="20" width="15.140625" customWidth="1"/>
    <col min="21" max="21" width="57.85546875" customWidth="1"/>
    <col min="22" max="22" width="44.5703125" hidden="1" customWidth="1"/>
    <col min="23" max="23" width="21" hidden="1" customWidth="1"/>
    <col min="24" max="24" width="18.5703125" hidden="1" customWidth="1"/>
    <col min="25" max="25" width="12.140625" hidden="1" customWidth="1"/>
    <col min="26" max="26" width="12.42578125" hidden="1" customWidth="1"/>
  </cols>
  <sheetData>
    <row r="1" spans="1:26" s="17" customFormat="1" ht="36" customHeight="1" thickBot="1" x14ac:dyDescent="0.35">
      <c r="A1" s="227" t="b">
        <f>AND('ДВН и профосмотр_общая '!F2&lt;&gt;0,'ДВН и профосмотр_общая '!F4&lt;&gt;0,'ДВН и профосмотр_общая '!D13&lt;&gt;0,'ДВН и профосмотр_общая '!D14&lt;&gt;0,'ДВН и профосмотр_общая '!D15&lt;&gt;0)</f>
        <v>1</v>
      </c>
      <c r="B1" s="525" t="s">
        <v>295</v>
      </c>
      <c r="C1" s="526"/>
      <c r="D1" s="526"/>
      <c r="E1" s="526"/>
      <c r="F1" s="526"/>
      <c r="G1" s="526"/>
      <c r="H1" s="526"/>
      <c r="I1" s="526"/>
      <c r="J1" s="526"/>
      <c r="K1" s="527"/>
      <c r="L1" s="9"/>
      <c r="M1" s="9"/>
      <c r="N1" s="9"/>
      <c r="O1" s="9"/>
      <c r="P1" s="82"/>
      <c r="Q1" s="9"/>
    </row>
    <row r="2" spans="1:26" s="17" customFormat="1" ht="33.75" customHeight="1" x14ac:dyDescent="0.3">
      <c r="A2" s="228" t="b">
        <f>AND('ДВН и профосмотр_общая '!$F$2&lt;&gt;0,'ДВН и профосмотр_общая '!$F$4&lt;&gt;0,'ДВН и профосмотр_общая '!$D$13&lt;&gt;0,'ДВН и профосмотр_общая '!$D$14&lt;&gt;0,'ДВН и профосмотр_общая '!$D$15&lt;&gt;0)</f>
        <v>1</v>
      </c>
      <c r="B2" s="8"/>
      <c r="C2" s="528" t="s">
        <v>59</v>
      </c>
      <c r="D2" s="529"/>
      <c r="E2" s="529"/>
      <c r="F2" s="529"/>
      <c r="G2" s="8"/>
      <c r="H2" s="8"/>
      <c r="I2" s="8"/>
      <c r="J2" s="8"/>
      <c r="K2" s="8"/>
      <c r="L2" s="8"/>
      <c r="M2" s="8"/>
      <c r="N2" s="8"/>
      <c r="O2" s="8"/>
      <c r="P2" s="83"/>
    </row>
    <row r="3" spans="1:26" ht="30" customHeight="1" x14ac:dyDescent="0.25">
      <c r="A3" s="464" t="s">
        <v>86</v>
      </c>
      <c r="B3" s="464"/>
      <c r="C3" s="464"/>
      <c r="D3" s="464"/>
      <c r="E3" s="464"/>
      <c r="F3" s="464"/>
      <c r="G3" s="464"/>
      <c r="H3" s="464"/>
      <c r="I3" s="46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6" ht="27.75" customHeight="1" thickBot="1" x14ac:dyDescent="0.3">
      <c r="A4" s="488" t="s">
        <v>121</v>
      </c>
      <c r="B4" s="488"/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8"/>
      <c r="N4" s="488"/>
      <c r="O4" s="488"/>
      <c r="P4" s="488"/>
      <c r="Q4" s="488"/>
      <c r="R4" s="488"/>
      <c r="S4" s="488"/>
      <c r="T4" s="488"/>
      <c r="U4" s="452" t="s">
        <v>108</v>
      </c>
    </row>
    <row r="5" spans="1:26" ht="35.25" customHeight="1" thickBot="1" x14ac:dyDescent="0.3">
      <c r="A5" s="486" t="s">
        <v>80</v>
      </c>
      <c r="B5" s="530" t="s">
        <v>107</v>
      </c>
      <c r="C5" s="465"/>
      <c r="D5" s="466"/>
      <c r="E5" s="476" t="s">
        <v>81</v>
      </c>
      <c r="F5" s="465"/>
      <c r="G5" s="466"/>
      <c r="H5" s="482" t="s">
        <v>103</v>
      </c>
      <c r="I5" s="478" t="s">
        <v>101</v>
      </c>
      <c r="J5" s="484" t="s">
        <v>127</v>
      </c>
      <c r="K5" s="485"/>
      <c r="L5" s="485"/>
      <c r="M5" s="485"/>
      <c r="N5" s="485"/>
      <c r="O5" s="275"/>
      <c r="P5" s="275"/>
      <c r="Q5" s="275"/>
      <c r="R5" s="478" t="s">
        <v>106</v>
      </c>
      <c r="S5" s="478" t="s">
        <v>105</v>
      </c>
      <c r="T5" s="480" t="s">
        <v>293</v>
      </c>
      <c r="U5" s="452"/>
    </row>
    <row r="6" spans="1:26" ht="172.5" customHeight="1" thickBot="1" x14ac:dyDescent="0.3">
      <c r="A6" s="487"/>
      <c r="B6" s="98" t="s">
        <v>60</v>
      </c>
      <c r="C6" s="99" t="s">
        <v>97</v>
      </c>
      <c r="D6" s="100" t="s">
        <v>98</v>
      </c>
      <c r="E6" s="294" t="s">
        <v>160</v>
      </c>
      <c r="F6" s="99" t="s">
        <v>99</v>
      </c>
      <c r="G6" s="100" t="s">
        <v>100</v>
      </c>
      <c r="H6" s="483"/>
      <c r="I6" s="479"/>
      <c r="J6" s="282" t="s">
        <v>282</v>
      </c>
      <c r="K6" s="282" t="s">
        <v>283</v>
      </c>
      <c r="L6" s="282" t="s">
        <v>104</v>
      </c>
      <c r="M6" s="282" t="s">
        <v>284</v>
      </c>
      <c r="N6" s="283" t="s">
        <v>278</v>
      </c>
      <c r="O6" s="282" t="s">
        <v>285</v>
      </c>
      <c r="P6" s="282" t="s">
        <v>281</v>
      </c>
      <c r="Q6" s="282" t="s">
        <v>280</v>
      </c>
      <c r="R6" s="479"/>
      <c r="S6" s="479"/>
      <c r="T6" s="481"/>
      <c r="U6" s="452"/>
    </row>
    <row r="7" spans="1:26" ht="19.5" customHeight="1" thickBot="1" x14ac:dyDescent="0.3">
      <c r="A7" s="74">
        <v>1</v>
      </c>
      <c r="B7" s="76">
        <v>2</v>
      </c>
      <c r="C7" s="67">
        <v>3</v>
      </c>
      <c r="D7" s="68">
        <v>4</v>
      </c>
      <c r="E7" s="73">
        <v>5</v>
      </c>
      <c r="F7" s="67">
        <v>6</v>
      </c>
      <c r="G7" s="68">
        <v>7</v>
      </c>
      <c r="H7" s="69">
        <v>8</v>
      </c>
      <c r="I7" s="70">
        <v>9</v>
      </c>
      <c r="J7" s="71">
        <v>10</v>
      </c>
      <c r="K7" s="70">
        <v>11</v>
      </c>
      <c r="L7" s="70">
        <v>12</v>
      </c>
      <c r="M7" s="71">
        <v>13</v>
      </c>
      <c r="N7" s="70">
        <v>14</v>
      </c>
      <c r="O7" s="70">
        <v>15</v>
      </c>
      <c r="P7" s="71">
        <v>16</v>
      </c>
      <c r="Q7" s="70">
        <v>17</v>
      </c>
      <c r="R7" s="70">
        <v>18</v>
      </c>
      <c r="S7" s="71">
        <v>19</v>
      </c>
      <c r="T7" s="70">
        <v>20</v>
      </c>
      <c r="U7" s="452"/>
    </row>
    <row r="8" spans="1:26" s="356" customFormat="1" ht="90" customHeight="1" thickBot="1" x14ac:dyDescent="0.3">
      <c r="A8" s="358" t="s">
        <v>305</v>
      </c>
      <c r="B8" s="360">
        <f>'период. и предвар. осмотры'!H16</f>
        <v>947</v>
      </c>
      <c r="C8" s="362"/>
      <c r="D8" s="363"/>
      <c r="E8" s="357">
        <f>'период. и предвар. осмотры'!I16</f>
        <v>947</v>
      </c>
      <c r="F8" s="362"/>
      <c r="G8" s="363"/>
      <c r="H8" s="364"/>
      <c r="I8" s="364"/>
      <c r="J8" s="365"/>
      <c r="K8" s="364"/>
      <c r="L8" s="364"/>
      <c r="M8" s="365"/>
      <c r="N8" s="364"/>
      <c r="O8" s="364"/>
      <c r="P8" s="365"/>
      <c r="Q8" s="364"/>
      <c r="R8" s="364"/>
      <c r="S8" s="365"/>
      <c r="T8" s="366"/>
      <c r="U8" s="45" t="str">
        <f>IF(X8&gt;0,"гр.2 &lt; гр.3+гр.4 по строке "&amp;W8,"ОК")</f>
        <v>ОК</v>
      </c>
      <c r="V8" s="306" t="s">
        <v>302</v>
      </c>
      <c r="W8" s="24" t="str">
        <f>IF(X8&gt;0,INDEX($A$8:$A$9,X8,1),CHAR(151))</f>
        <v>—</v>
      </c>
      <c r="X8" s="25">
        <f>IF(ISERROR(MATCH(FALSE,Y8:Z8,0)),0,MATCH(FALSE,Y8:Z8,0))</f>
        <v>0</v>
      </c>
      <c r="Y8" s="356" t="b">
        <f>IF(OR($B8&lt;&gt;0,SUM($C8:$D8)&lt;&gt;0),$B8&gt;=SUM($C8:$D8),TRUE)</f>
        <v>1</v>
      </c>
      <c r="Z8" s="356" t="b">
        <f>IF(OR($B9&lt;&gt;0,SUM($C9:$D9)&lt;&gt;0),$B9&gt;=SUM($C9:$D9),TRUE)</f>
        <v>1</v>
      </c>
    </row>
    <row r="9" spans="1:26" ht="90" customHeight="1" thickBot="1" x14ac:dyDescent="0.3">
      <c r="A9" s="351" t="s">
        <v>304</v>
      </c>
      <c r="B9" s="377">
        <f>'период. и предвар. осмотры'!$H$17</f>
        <v>110</v>
      </c>
      <c r="C9" s="352"/>
      <c r="D9" s="353"/>
      <c r="E9" s="378">
        <f>'период. и предвар. осмотры'!$I$17</f>
        <v>110</v>
      </c>
      <c r="F9" s="352"/>
      <c r="G9" s="353"/>
      <c r="H9" s="354"/>
      <c r="I9" s="355"/>
      <c r="J9" s="355"/>
      <c r="K9" s="355"/>
      <c r="L9" s="355"/>
      <c r="M9" s="355"/>
      <c r="N9" s="355"/>
      <c r="O9" s="355"/>
      <c r="P9" s="355"/>
      <c r="Q9" s="355"/>
      <c r="R9" s="355"/>
      <c r="S9" s="355"/>
      <c r="T9" s="361"/>
      <c r="U9" s="45" t="str">
        <f>IF(X9&gt;0,"гр.2 &lt; гр.5 по строке "&amp;W9,"ОК")</f>
        <v>ОК</v>
      </c>
      <c r="V9" s="306" t="s">
        <v>87</v>
      </c>
      <c r="W9" s="24" t="str">
        <f>IF(X9&gt;0,INDEX($A$8:$A$9,X9,1),CHAR(151))</f>
        <v>—</v>
      </c>
      <c r="X9" s="25">
        <f>IF(ISERROR(MATCH(FALSE,Y9:Z9,0)),0,MATCH(FALSE,Y9:Z9,0))</f>
        <v>0</v>
      </c>
      <c r="Y9" s="356" t="b">
        <f>IF(OR($B8&lt;&gt;0,$E8&lt;&gt;0),$B8&gt;=$E8,TRUE)</f>
        <v>1</v>
      </c>
      <c r="Z9" s="356" t="b">
        <f>IF(OR($B9&lt;&gt;0,$E9&lt;&gt;0),$B9&gt;=$E9,TRUE)</f>
        <v>1</v>
      </c>
    </row>
    <row r="10" spans="1:26" ht="40.35" customHeight="1" x14ac:dyDescent="0.3">
      <c r="P10" s="300"/>
      <c r="Q10" s="300"/>
      <c r="U10" s="45" t="str">
        <f>IF(X10&gt;0,"гр.5 &lt; гр.6+гр.7 по строке "&amp;W10,"ОК")</f>
        <v>ОК</v>
      </c>
      <c r="V10" s="306" t="s">
        <v>303</v>
      </c>
      <c r="W10" s="24" t="str">
        <f>IF(X10&gt;0,INDEX($A$8:$A$9,X10,1),CHAR(151))</f>
        <v>—</v>
      </c>
      <c r="X10" s="25">
        <f>IF(ISERROR(MATCH(FALSE,Y10:Z10,0)),0,MATCH(FALSE,Y10:Z10,0))</f>
        <v>0</v>
      </c>
      <c r="Y10" s="356" t="b">
        <f>IF(OR($E8&gt;0,SUM($F8:$G8)&lt;&gt;0),$E8&gt;=SUM($F8:$G8),TRUE)</f>
        <v>1</v>
      </c>
      <c r="Z10" s="356" t="b">
        <f>IF(OR($E9&gt;0,SUM($F9:$G9)&lt;&gt;0),$E9&gt;=SUM($F9:$G9),TRUE)</f>
        <v>1</v>
      </c>
    </row>
    <row r="11" spans="1:26" ht="40.35" customHeight="1" x14ac:dyDescent="0.3">
      <c r="B11" s="299"/>
      <c r="D11" s="276"/>
      <c r="E11" s="276"/>
      <c r="F11" s="359"/>
      <c r="G11" s="302"/>
      <c r="P11" s="300"/>
      <c r="Q11" s="300"/>
      <c r="U11" s="45" t="str">
        <f>IF(X11&gt;0,"гр.9 &lt; гр.10+гр.11+гр.13+гр.15+гр.16+гр.17 по строке "&amp;W11,"ОК")</f>
        <v>ОК</v>
      </c>
      <c r="V11" s="306" t="s">
        <v>342</v>
      </c>
      <c r="W11" s="24" t="str">
        <f>IF(X11&gt;0,INDEX($A$8:$A$9,X11,1),CHAR(151))</f>
        <v>—</v>
      </c>
      <c r="X11" s="25">
        <f>IF(ISERROR(MATCH(FALSE,Y11:Z11,0)),0,MATCH(FALSE,Y11:Z11,0))</f>
        <v>0</v>
      </c>
      <c r="Y11" s="356" t="b">
        <f>IF(OR($I8&gt;0,SUM($J8:$K8,$M8,$O8:$Q8)&lt;&gt;0),$I8&gt;=SUM($J8:$K8,$M8,$O8:$Q8),TRUE)</f>
        <v>1</v>
      </c>
      <c r="Z11" t="b">
        <f>IF(OR($I9&gt;0,SUM($J9:$K9,$M9,$O9:$Q9)&lt;&gt;0),$I9&gt;=SUM($J9:$K9,$M9,$O9:$Q9),TRUE)</f>
        <v>1</v>
      </c>
    </row>
    <row r="12" spans="1:26" ht="40.35" customHeight="1" x14ac:dyDescent="0.3">
      <c r="A12" s="276"/>
      <c r="B12" s="276"/>
      <c r="G12" s="303"/>
      <c r="P12" s="300"/>
      <c r="Q12" s="300"/>
      <c r="U12" s="45" t="str">
        <f>IF(X12&gt;0,"гр.18 &gt; гр.8 по строке "&amp;W12,"ОК")</f>
        <v>ОК</v>
      </c>
      <c r="V12" s="306" t="s">
        <v>298</v>
      </c>
      <c r="W12" s="24" t="str">
        <f>IF(X12&gt;0,INDEX($A$8:$A$9,X12,1),CHAR(151))</f>
        <v>—</v>
      </c>
      <c r="X12" s="25">
        <f>IF(ISERROR(MATCH(FALSE,Y12:Z12,0)),0,MATCH(FALSE,Y12:Z12,0))</f>
        <v>0</v>
      </c>
      <c r="Y12" s="356" t="b">
        <f>IF(OR($R8&lt;&gt;0,$H8&lt;&gt;0),$R8&lt;=$H8,TRUE)</f>
        <v>1</v>
      </c>
      <c r="Z12" s="356" t="b">
        <f>IF(OR($R9&lt;&gt;0,$H9&lt;&gt;0),$R9&lt;=$H9,TRUE)</f>
        <v>1</v>
      </c>
    </row>
    <row r="13" spans="1:26" ht="40.35" customHeight="1" x14ac:dyDescent="0.3">
      <c r="G13" s="302"/>
      <c r="P13" s="300"/>
      <c r="Q13" s="300"/>
      <c r="U13" s="45" t="str">
        <f>IF(OR(H9&lt;&gt;0,I9&lt;&gt;0),IF(H9&gt;I9,"гр.8 &gt; гр.9","ОК"),"ОК")</f>
        <v>ОК</v>
      </c>
      <c r="V13" s="306" t="s">
        <v>109</v>
      </c>
      <c r="Y13" s="356"/>
    </row>
    <row r="14" spans="1:26" ht="40.35" customHeight="1" x14ac:dyDescent="0.3">
      <c r="G14" s="302"/>
      <c r="P14" s="300"/>
      <c r="Q14" s="300"/>
      <c r="U14" s="45" t="str">
        <f>IF(OR(C9&lt;&gt;0,F9&lt;&gt;0),IF(C9&lt;F9,"гр.3 &lt; гр.6","ОК"),"ОК")</f>
        <v>ОК</v>
      </c>
      <c r="V14" s="306" t="s">
        <v>110</v>
      </c>
    </row>
    <row r="15" spans="1:26" ht="40.35" customHeight="1" x14ac:dyDescent="0.3">
      <c r="G15" s="302"/>
      <c r="H15" s="302"/>
      <c r="U15" s="45" t="str">
        <f>IF(OR(D9&lt;&gt;0,G9&lt;&gt;0),IF(D9&lt;G9,"гр.4 &lt; гр.7","ОК"),"ОК")</f>
        <v>ОК</v>
      </c>
      <c r="V15" s="306" t="s">
        <v>111</v>
      </c>
    </row>
    <row r="16" spans="1:26" ht="40.35" customHeight="1" x14ac:dyDescent="0.3">
      <c r="G16" s="302"/>
      <c r="H16" s="302"/>
      <c r="U16" s="45" t="str">
        <f>IF(X16&gt;0,"гр.19 &gt; гр.8 по строке "&amp;W16,"ОК")</f>
        <v>ОК</v>
      </c>
      <c r="V16" s="306" t="s">
        <v>299</v>
      </c>
      <c r="W16" s="24" t="str">
        <f>IF(X16&gt;0,INDEX($A$8:$A$9,X16,1),CHAR(151))</f>
        <v>—</v>
      </c>
      <c r="X16" s="25">
        <f>IF(ISERROR(MATCH(FALSE,Y16:Z16,0)),0,MATCH(FALSE,Y16:Z16,0))</f>
        <v>0</v>
      </c>
      <c r="Y16" s="356" t="b">
        <f>IF(OR($S8&lt;&gt;0,$H8&lt;&gt;0),$S8&lt;=$H8,TRUE)</f>
        <v>1</v>
      </c>
      <c r="Z16" s="356" t="b">
        <f>IF(OR($S9&lt;&gt;0,$H9&lt;&gt;0),$S9&lt;=$H9,TRUE)</f>
        <v>1</v>
      </c>
    </row>
    <row r="17" spans="8:26" ht="40.35" customHeight="1" x14ac:dyDescent="0.3">
      <c r="H17" s="302"/>
      <c r="U17" s="45" t="str">
        <f>IF(X17&gt;0,"гр.20 &gt; гр.8 по строке "&amp;W17,"ОК")</f>
        <v>ОК</v>
      </c>
      <c r="V17" s="306" t="s">
        <v>306</v>
      </c>
      <c r="W17" s="24" t="str">
        <f>IF(X17&gt;0,INDEX($A$8:$A$9,X17,1),CHAR(151))</f>
        <v>—</v>
      </c>
      <c r="X17" s="25">
        <f>IF(ISERROR(MATCH(FALSE,Y17:Z17,0)),0,MATCH(FALSE,Y17:Z17,0))</f>
        <v>0</v>
      </c>
      <c r="Y17" s="356" t="b">
        <f>IF(OR($T8&lt;&gt;0,$R8&lt;&gt;0),$T8&lt;=$R8,TRUE)</f>
        <v>1</v>
      </c>
      <c r="Z17" s="356" t="b">
        <f>IF(OR($T9&lt;&gt;0,$R9&lt;&gt;0),$T9&lt;=$R9,TRUE)</f>
        <v>1</v>
      </c>
    </row>
    <row r="18" spans="8:26" ht="23.25" x14ac:dyDescent="0.3">
      <c r="H18" s="302"/>
      <c r="U18" s="45" t="str">
        <f>IF(OR(K9&lt;&gt;0,L9&lt;&gt;0),IF(K9&lt;L9,"гр.11 &lt; гр.12","ОК"),"ОК")</f>
        <v>ОК</v>
      </c>
      <c r="V18" s="306" t="s">
        <v>300</v>
      </c>
      <c r="Y18" s="356"/>
    </row>
    <row r="19" spans="8:26" ht="23.25" x14ac:dyDescent="0.25">
      <c r="U19" s="45" t="str">
        <f>IF(OR(M9&lt;&gt;0,N9&lt;&gt;0),IF(M9&lt;N9,"гр.13 &lt; гр.14","ОК"),"ОК")</f>
        <v>ОК</v>
      </c>
      <c r="V19" s="306" t="s">
        <v>301</v>
      </c>
    </row>
    <row r="20" spans="8:26" ht="63" x14ac:dyDescent="0.25">
      <c r="V20" s="367" t="s">
        <v>309</v>
      </c>
    </row>
    <row r="21" spans="8:26" ht="84" x14ac:dyDescent="0.25">
      <c r="V21" s="367" t="s">
        <v>311</v>
      </c>
    </row>
    <row r="22" spans="8:26" ht="42" x14ac:dyDescent="0.25">
      <c r="V22" s="367" t="s">
        <v>312</v>
      </c>
    </row>
  </sheetData>
  <sheetProtection password="DB70" sheet="1" objects="1" scenarios="1" autoFilter="0"/>
  <mergeCells count="14">
    <mergeCell ref="B1:K1"/>
    <mergeCell ref="C2:F2"/>
    <mergeCell ref="A3:I3"/>
    <mergeCell ref="A4:T4"/>
    <mergeCell ref="U4:U7"/>
    <mergeCell ref="A5:A6"/>
    <mergeCell ref="B5:D5"/>
    <mergeCell ref="E5:G5"/>
    <mergeCell ref="H5:H6"/>
    <mergeCell ref="I5:I6"/>
    <mergeCell ref="J5:N5"/>
    <mergeCell ref="R5:R6"/>
    <mergeCell ref="S5:S6"/>
    <mergeCell ref="T5:T6"/>
  </mergeCells>
  <conditionalFormatting sqref="U8">
    <cfRule type="expression" dxfId="12" priority="25" stopIfTrue="1">
      <formula>U8&lt;&gt;"ОК"</formula>
    </cfRule>
  </conditionalFormatting>
  <conditionalFormatting sqref="U13">
    <cfRule type="expression" dxfId="11" priority="19" stopIfTrue="1">
      <formula>U13&lt;&gt;"ОК"</formula>
    </cfRule>
  </conditionalFormatting>
  <conditionalFormatting sqref="U14">
    <cfRule type="expression" dxfId="10" priority="18" stopIfTrue="1">
      <formula>U14&lt;&gt;"ОК"</formula>
    </cfRule>
  </conditionalFormatting>
  <conditionalFormatting sqref="U15">
    <cfRule type="expression" dxfId="9" priority="17" stopIfTrue="1">
      <formula>U15&lt;&gt;"ОК"</formula>
    </cfRule>
  </conditionalFormatting>
  <conditionalFormatting sqref="B11">
    <cfRule type="expression" dxfId="8" priority="15">
      <formula>$B$10&lt;&gt;$B$9</formula>
    </cfRule>
  </conditionalFormatting>
  <conditionalFormatting sqref="U18">
    <cfRule type="expression" dxfId="7" priority="9" stopIfTrue="1">
      <formula>U18&lt;&gt;"ОК"</formula>
    </cfRule>
  </conditionalFormatting>
  <conditionalFormatting sqref="U19">
    <cfRule type="expression" dxfId="6" priority="8" stopIfTrue="1">
      <formula>U19&lt;&gt;"ОК"</formula>
    </cfRule>
  </conditionalFormatting>
  <conditionalFormatting sqref="U9">
    <cfRule type="expression" dxfId="5" priority="7" stopIfTrue="1">
      <formula>U9&lt;&gt;"ОК"</formula>
    </cfRule>
  </conditionalFormatting>
  <conditionalFormatting sqref="U10">
    <cfRule type="expression" dxfId="4" priority="5" stopIfTrue="1">
      <formula>U10&lt;&gt;"ОК"</formula>
    </cfRule>
  </conditionalFormatting>
  <conditionalFormatting sqref="U11">
    <cfRule type="expression" dxfId="3" priority="4" stopIfTrue="1">
      <formula>U11&lt;&gt;"ОК"</formula>
    </cfRule>
  </conditionalFormatting>
  <conditionalFormatting sqref="U12">
    <cfRule type="expression" dxfId="2" priority="3" stopIfTrue="1">
      <formula>U12&lt;&gt;"ОК"</formula>
    </cfRule>
  </conditionalFormatting>
  <conditionalFormatting sqref="U16">
    <cfRule type="expression" dxfId="1" priority="2" stopIfTrue="1">
      <formula>U16&lt;&gt;"ОК"</formula>
    </cfRule>
  </conditionalFormatting>
  <conditionalFormatting sqref="U17">
    <cfRule type="expression" dxfId="0" priority="1" stopIfTrue="1">
      <formula>U17&lt;&gt;"ОК"</formula>
    </cfRule>
  </conditionalFormatting>
  <dataValidations count="1">
    <dataValidation type="custom" operator="greaterThanOrEqual" showInputMessage="1" showErrorMessage="1" errorTitle="В Н И М А Н И Е !" error="Перед заполнением таблицы НУЖНО ВНАЧАЛЕ на листе «ДВН и профосмотры» ВВЕСТИ:_x000a_1) дату и название организации;_x000a_2) Ф.И.О. гл.врача, исполнителя и ТЕЛЕФОН ИСПОЛНИТЕЛЯ._x000a_▬_x000a_В эту ячейку можно ввести ТОЛЬКО ЦЕЛОЕ ПОЛОЖИТЕЛЬНОЕ ЧИСЛО." sqref="B9:T9">
      <formula1>AND($A$1=TRUE,ISNUMBER(B9),B9&gt;=0,IF(ISERROR(SEARCH(",?",B9)),0,1)=0)</formula1>
    </dataValidation>
  </dataValidations>
  <pageMargins left="0.70866141732283472" right="0.70866141732283472" top="0.74803149606299213" bottom="0.74803149606299213" header="0.31496062992125984" footer="0.31496062992125984"/>
  <pageSetup paperSize="9" scale="32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ДВН и профосмотр_общая </vt:lpstr>
      <vt:lpstr>ДВН-124н</vt:lpstr>
      <vt:lpstr>профосмотры 124н</vt:lpstr>
      <vt:lpstr>Нацпроект_ДВН_ПО _Ф.12</vt:lpstr>
      <vt:lpstr>период. и предвар. осмотры</vt:lpstr>
      <vt:lpstr>Таб 2510 ф.№30</vt:lpstr>
      <vt:lpstr>таб. 2516 ф. 30</vt:lpstr>
      <vt:lpstr>Старше труд._период и предвар.</vt:lpstr>
      <vt:lpstr>Названия_учреждений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 А. Черников</dc:creator>
  <cp:lastModifiedBy>ZavOrgMetod</cp:lastModifiedBy>
  <cp:lastPrinted>2021-01-13T06:58:43Z</cp:lastPrinted>
  <dcterms:created xsi:type="dcterms:W3CDTF">2006-09-16T00:00:00Z</dcterms:created>
  <dcterms:modified xsi:type="dcterms:W3CDTF">2021-01-13T06:59:20Z</dcterms:modified>
</cp:coreProperties>
</file>