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-120" yWindow="-120" windowWidth="19440" windowHeight="13170" tabRatio="799" firstSheet="21" activeTab="21"/>
  </bookViews>
  <sheets>
    <sheet name="Титульный лист" sheetId="1" state="veryHidden" r:id="rId1"/>
    <sheet name="1000, 1001" sheetId="2" state="veryHidden" r:id="rId2"/>
    <sheet name="2000" sheetId="3" state="veryHidden" r:id="rId3"/>
    <sheet name="2001, 3000" sheetId="4" state="veryHidden" r:id="rId4"/>
    <sheet name="3001, 3002, 3003" sheetId="5" state="veryHidden" r:id="rId5"/>
    <sheet name="4000,4001" sheetId="6" state="veryHidden" r:id="rId6"/>
    <sheet name="5000 и 5001 ДВН" sheetId="11" state="veryHidden" r:id="rId7"/>
    <sheet name="5000 и 5001 ПО" sheetId="12" state="veryHidden" r:id="rId8"/>
    <sheet name="5000 и 5001 свод" sheetId="10" state="veryHidden" r:id="rId9"/>
    <sheet name="6000-6010" sheetId="9" state="veryHidden" r:id="rId10"/>
    <sheet name="5000, 5001" sheetId="7" state="veryHidden" r:id="rId11"/>
    <sheet name="Список МО" sheetId="13" state="veryHidden" r:id="rId12"/>
    <sheet name="Проверочный лист" sheetId="14" state="veryHidden" r:id="rId13"/>
    <sheet name="ДВН и профосмотр_общая " sheetId="15" state="veryHidden" r:id="rId14"/>
    <sheet name="ДВН-124н" sheetId="16" state="veryHidden" r:id="rId15"/>
    <sheet name="профосмотры 124н" sheetId="17" state="veryHidden" r:id="rId16"/>
    <sheet name="Нацпроект_ДВН_ПО _Ф.12" sheetId="18" state="veryHidden" r:id="rId17"/>
    <sheet name="период. и предвар. осмотры" sheetId="19" state="veryHidden" r:id="rId18"/>
    <sheet name="Таб 2510 ф.№30" sheetId="20" state="veryHidden" r:id="rId19"/>
    <sheet name="таб. 2516 ф. 30" sheetId="21" state="veryHidden" r:id="rId20"/>
    <sheet name="Старше труд._период и предвар." sheetId="22" state="veryHidden" r:id="rId21"/>
    <sheet name="Включите макросы" sheetId="23" r:id="rId22"/>
  </sheets>
  <externalReferences>
    <externalReference r:id="rId23"/>
  </externalReferences>
  <definedNames>
    <definedName name="_xlnm._FilterDatabase" localSheetId="6" hidden="1">'5000 и 5001 ДВН'!$B$6:$N$78</definedName>
    <definedName name="_xlnm._FilterDatabase" localSheetId="7" hidden="1">'5000 и 5001 ПО'!$B$6:$N$6</definedName>
    <definedName name="list">#N/A</definedName>
    <definedName name="Группа_медицинских_организаций">'[1]Вспомогательный лист'!$V$2:$V$5</definedName>
    <definedName name="да_нет">'[1]Вспомогательный лист'!$X$2:$X$3</definedName>
    <definedName name="Категория_обслуживаемого_населения">'[1]Вспомогательный лист'!$W$2:$W$4</definedName>
    <definedName name="краткое_наименование_ЮЛ">OFFSET('[1]Вспомогательный лист'!$AA$1,MATCH([1]Юр.лицо!$D$6,'[1]Вспомогательный лист'!$AA:$AA,0)-1,1,COUNTIF('[1]Вспомогательный лист'!$AA:$AA,[1]Юр.лицо!$D$6),1)</definedName>
    <definedName name="Названия_организаций">'Список МО'!$A$1:$A$54</definedName>
    <definedName name="Названия_учреждений">'Проверочный лист'!$B$2:$B$53</definedName>
    <definedName name="_xlnm.Print_Area" localSheetId="9">'6000-6010'!$A$1:$H$38</definedName>
    <definedName name="субъекты">OFFSET('[1]Вспомогательный лист'!$A$1,MATCH([1]Юр.лицо!$D$5,'[1]Вспомогательный лист'!$A:$A,0)-1,1,COUNTIF('[1]Вспомогательный лист'!$A:$A,[1]Юр.лицо!$D$5),1)</definedName>
    <definedName name="федеральный_округ">'[1]Вспомогательный лист'!$E$1:$E$8</definedName>
  </definedNames>
  <calcPr calcId="145621"/>
</workbook>
</file>

<file path=xl/calcChain.xml><?xml version="1.0" encoding="utf-8"?>
<calcChain xmlns="http://schemas.openxmlformats.org/spreadsheetml/2006/main">
  <c r="D29" i="4" l="1"/>
  <c r="C31" i="9" l="1"/>
  <c r="C28" i="9"/>
  <c r="N48" i="11"/>
  <c r="L48" i="11"/>
  <c r="G23" i="4" l="1"/>
  <c r="F23" i="4"/>
  <c r="E23" i="4"/>
  <c r="D27" i="4"/>
  <c r="D26" i="4"/>
  <c r="D25" i="4"/>
  <c r="D24" i="4"/>
  <c r="D22" i="4"/>
  <c r="D21" i="4"/>
  <c r="D20" i="4"/>
  <c r="D19" i="4"/>
  <c r="D18" i="4"/>
  <c r="D17" i="4"/>
  <c r="D16" i="4"/>
  <c r="D15" i="4"/>
  <c r="D14" i="4"/>
  <c r="D13" i="4"/>
  <c r="D12" i="4"/>
  <c r="D11" i="4"/>
  <c r="D23" i="4" l="1"/>
  <c r="N17" i="16"/>
  <c r="N20" i="16" s="1"/>
  <c r="D24" i="16"/>
  <c r="O19" i="16"/>
  <c r="P19" i="16"/>
  <c r="Q19" i="16"/>
  <c r="R19" i="16"/>
  <c r="N19" i="16"/>
  <c r="L17" i="16"/>
  <c r="M17" i="16"/>
  <c r="M48" i="11" s="1"/>
  <c r="O17" i="16"/>
  <c r="O20" i="16" s="1"/>
  <c r="P17" i="16"/>
  <c r="P20" i="16" s="1"/>
  <c r="Q17" i="16"/>
  <c r="Q20" i="16" s="1"/>
  <c r="R17" i="16"/>
  <c r="R20" i="16" s="1"/>
  <c r="S17" i="16"/>
  <c r="T17" i="16"/>
  <c r="U17" i="16"/>
  <c r="V17" i="16"/>
  <c r="W17" i="16"/>
  <c r="K17" i="16"/>
  <c r="J17" i="16"/>
  <c r="I17" i="16"/>
  <c r="F17" i="16"/>
  <c r="G17" i="16"/>
  <c r="E17" i="16"/>
  <c r="E9" i="18" l="1"/>
  <c r="F16" i="16" l="1"/>
  <c r="G16" i="16"/>
  <c r="H16" i="16"/>
  <c r="I16" i="16"/>
  <c r="J16" i="16"/>
  <c r="K16" i="16"/>
  <c r="I17" i="19" l="1"/>
  <c r="J17" i="19"/>
  <c r="K17" i="19"/>
  <c r="L17" i="19"/>
  <c r="M17" i="19"/>
  <c r="I18" i="19"/>
  <c r="J18" i="19"/>
  <c r="K18" i="19"/>
  <c r="L18" i="19"/>
  <c r="M18" i="19"/>
  <c r="I19" i="19"/>
  <c r="J19" i="19"/>
  <c r="K19" i="19"/>
  <c r="L19" i="19"/>
  <c r="M19" i="19"/>
  <c r="O17" i="19"/>
  <c r="P17" i="19"/>
  <c r="O18" i="19"/>
  <c r="P18" i="19"/>
  <c r="O19" i="19"/>
  <c r="P19" i="19"/>
  <c r="AA44" i="12" l="1"/>
  <c r="Z44" i="12"/>
  <c r="U44" i="12"/>
  <c r="T44" i="12"/>
  <c r="S44" i="12"/>
  <c r="U44" i="11"/>
  <c r="T44" i="11"/>
  <c r="S44" i="11"/>
  <c r="U8" i="16" l="1"/>
  <c r="U18" i="16" s="1"/>
  <c r="I16" i="19" l="1"/>
  <c r="E8" i="22" s="1"/>
  <c r="J16" i="19"/>
  <c r="K16" i="19"/>
  <c r="L16" i="19"/>
  <c r="M16" i="19"/>
  <c r="O16" i="19"/>
  <c r="P16" i="19"/>
  <c r="I12" i="19"/>
  <c r="J12" i="19"/>
  <c r="K12" i="19"/>
  <c r="L12" i="19"/>
  <c r="M12" i="19"/>
  <c r="O12" i="19"/>
  <c r="P12" i="19"/>
  <c r="Q12" i="19"/>
  <c r="R12" i="19"/>
  <c r="S12" i="19"/>
  <c r="T12" i="19"/>
  <c r="U12" i="19"/>
  <c r="J17" i="2" l="1"/>
  <c r="D27" i="2" s="1"/>
  <c r="AA74" i="12" l="1"/>
  <c r="Z74" i="12"/>
  <c r="Y74" i="12"/>
  <c r="X74" i="12"/>
  <c r="U74" i="12"/>
  <c r="T74" i="12"/>
  <c r="S74" i="12"/>
  <c r="AA69" i="12"/>
  <c r="Z69" i="12"/>
  <c r="Y69" i="12"/>
  <c r="X69" i="12"/>
  <c r="U69" i="12"/>
  <c r="T69" i="12"/>
  <c r="S69" i="12"/>
  <c r="AA64" i="12"/>
  <c r="Z64" i="12"/>
  <c r="U64" i="12"/>
  <c r="T64" i="12"/>
  <c r="S64" i="12"/>
  <c r="AA60" i="12"/>
  <c r="Z60" i="12"/>
  <c r="U60" i="12"/>
  <c r="T60" i="12"/>
  <c r="S60" i="12"/>
  <c r="AA48" i="12"/>
  <c r="Z48" i="12"/>
  <c r="U48" i="12"/>
  <c r="T48" i="12"/>
  <c r="S48" i="12"/>
  <c r="AA42" i="12"/>
  <c r="Z42" i="12"/>
  <c r="Y42" i="12"/>
  <c r="X42" i="12"/>
  <c r="U42" i="12"/>
  <c r="T42" i="12"/>
  <c r="S42" i="12"/>
  <c r="AA37" i="12"/>
  <c r="Z37" i="12"/>
  <c r="U37" i="12"/>
  <c r="T37" i="12"/>
  <c r="S37" i="12"/>
  <c r="AA35" i="12"/>
  <c r="Z35" i="12"/>
  <c r="Y35" i="12"/>
  <c r="X35" i="12"/>
  <c r="U35" i="12"/>
  <c r="T35" i="12"/>
  <c r="S35" i="12"/>
  <c r="AA12" i="12"/>
  <c r="Z12" i="12"/>
  <c r="U12" i="12"/>
  <c r="T12" i="12"/>
  <c r="S12" i="12"/>
  <c r="AA11" i="12"/>
  <c r="Z11" i="12"/>
  <c r="U11" i="12"/>
  <c r="T11" i="12"/>
  <c r="S11" i="12"/>
  <c r="CK10" i="12"/>
  <c r="CJ10" i="12"/>
  <c r="CI10" i="12"/>
  <c r="CH10" i="12"/>
  <c r="CG10" i="12"/>
  <c r="CF10" i="12"/>
  <c r="CE10" i="12"/>
  <c r="CD10" i="12"/>
  <c r="CB10" i="12"/>
  <c r="CA10" i="12"/>
  <c r="BZ10" i="12"/>
  <c r="BY10" i="12"/>
  <c r="BX10" i="12"/>
  <c r="BW10" i="12"/>
  <c r="BV10" i="12"/>
  <c r="BU10" i="12"/>
  <c r="BT10" i="12"/>
  <c r="BS10" i="12"/>
  <c r="BR10" i="12"/>
  <c r="BQ10" i="12"/>
  <c r="BP10" i="12"/>
  <c r="BO10" i="12"/>
  <c r="BN10" i="12"/>
  <c r="BM10" i="12"/>
  <c r="BL10" i="12"/>
  <c r="BK10" i="12"/>
  <c r="BJ10" i="12"/>
  <c r="BI10" i="12"/>
  <c r="BH10" i="12"/>
  <c r="BG10" i="12"/>
  <c r="BF10" i="12"/>
  <c r="BE10" i="12"/>
  <c r="BD10" i="12"/>
  <c r="BC10" i="12"/>
  <c r="BB10" i="12"/>
  <c r="BA10" i="12"/>
  <c r="AZ10" i="12"/>
  <c r="AY10" i="12"/>
  <c r="AX10" i="12"/>
  <c r="AW10" i="12"/>
  <c r="AV10" i="12"/>
  <c r="AU10" i="12"/>
  <c r="AT10" i="12"/>
  <c r="AS10" i="12"/>
  <c r="AR10" i="12"/>
  <c r="AQ10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CK9" i="12"/>
  <c r="CJ9" i="12"/>
  <c r="CI9" i="12"/>
  <c r="CH9" i="12"/>
  <c r="CG9" i="12"/>
  <c r="CF9" i="12"/>
  <c r="CE9" i="12"/>
  <c r="CD9" i="12"/>
  <c r="CB9" i="12"/>
  <c r="CA9" i="12"/>
  <c r="BZ9" i="12"/>
  <c r="BY9" i="12"/>
  <c r="BW9" i="12"/>
  <c r="BV9" i="12"/>
  <c r="BU9" i="12"/>
  <c r="BS9" i="12"/>
  <c r="BR9" i="12"/>
  <c r="BQ9" i="12"/>
  <c r="BP9" i="12"/>
  <c r="BO9" i="12"/>
  <c r="BN9" i="12"/>
  <c r="BM9" i="12"/>
  <c r="BL9" i="12"/>
  <c r="BK9" i="12"/>
  <c r="BJ9" i="12"/>
  <c r="BI9" i="12"/>
  <c r="BG9" i="12"/>
  <c r="BE9" i="12"/>
  <c r="BD9" i="12"/>
  <c r="BC9" i="12"/>
  <c r="BB9" i="12"/>
  <c r="BA9" i="12"/>
  <c r="AZ9" i="12"/>
  <c r="AW9" i="12"/>
  <c r="AV9" i="12"/>
  <c r="AU9" i="12"/>
  <c r="AT9" i="12"/>
  <c r="AS9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U9" i="12"/>
  <c r="T9" i="12"/>
  <c r="S9" i="12"/>
  <c r="F4" i="15" l="1"/>
  <c r="B79" i="12" l="1"/>
  <c r="L64" i="12"/>
  <c r="Y64" i="12" s="1"/>
  <c r="L60" i="12"/>
  <c r="Y60" i="12" s="1"/>
  <c r="L48" i="12"/>
  <c r="D9" i="19"/>
  <c r="E12" i="19"/>
  <c r="F12" i="19"/>
  <c r="G12" i="19"/>
  <c r="E8" i="19"/>
  <c r="F8" i="19"/>
  <c r="G8" i="19"/>
  <c r="I8" i="19"/>
  <c r="J8" i="19"/>
  <c r="K8" i="19"/>
  <c r="L8" i="19"/>
  <c r="M8" i="19"/>
  <c r="O8" i="19"/>
  <c r="P8" i="19"/>
  <c r="Q8" i="19"/>
  <c r="R8" i="19"/>
  <c r="S8" i="19"/>
  <c r="T8" i="19"/>
  <c r="U8" i="19"/>
  <c r="Y48" i="12" l="1"/>
  <c r="M79" i="11"/>
  <c r="M79" i="10" s="1"/>
  <c r="Q8" i="5"/>
  <c r="Q4" i="5"/>
  <c r="E28" i="4" s="1"/>
  <c r="D28" i="4" s="1"/>
  <c r="E3" i="4"/>
  <c r="F10" i="2"/>
  <c r="F11" i="2"/>
  <c r="N11" i="2" s="1"/>
  <c r="F12" i="2"/>
  <c r="N12" i="2" s="1"/>
  <c r="F13" i="2"/>
  <c r="N13" i="2" s="1"/>
  <c r="F14" i="2"/>
  <c r="E8" i="17"/>
  <c r="F8" i="17"/>
  <c r="G8" i="17"/>
  <c r="I8" i="17"/>
  <c r="J8" i="17"/>
  <c r="L8" i="17"/>
  <c r="M8" i="17"/>
  <c r="N8" i="17"/>
  <c r="N16" i="17" s="1"/>
  <c r="L10" i="12" s="1"/>
  <c r="Y12" i="12" s="1"/>
  <c r="O8" i="17"/>
  <c r="P8" i="17"/>
  <c r="P16" i="17" s="1"/>
  <c r="L38" i="12" s="1"/>
  <c r="Y37" i="12" s="1"/>
  <c r="Q8" i="17"/>
  <c r="Q16" i="17" s="1"/>
  <c r="R8" i="17"/>
  <c r="R16" i="17" s="1"/>
  <c r="L46" i="12" s="1"/>
  <c r="Y44" i="12" s="1"/>
  <c r="S8" i="17"/>
  <c r="T8" i="17"/>
  <c r="U8" i="17"/>
  <c r="U16" i="17" s="1"/>
  <c r="V8" i="17"/>
  <c r="W8" i="17"/>
  <c r="K8" i="17"/>
  <c r="AW13" i="15"/>
  <c r="AX13" i="15"/>
  <c r="AZ13" i="15"/>
  <c r="BA13" i="15"/>
  <c r="Y11" i="12" l="1"/>
  <c r="O16" i="17"/>
  <c r="AD21" i="17" s="1"/>
  <c r="N10" i="2"/>
  <c r="F17" i="2"/>
  <c r="D24" i="3" s="1"/>
  <c r="K46" i="12"/>
  <c r="AG21" i="17"/>
  <c r="K48" i="12"/>
  <c r="X48" i="12" s="1"/>
  <c r="AB21" i="17"/>
  <c r="K60" i="12"/>
  <c r="X60" i="12" s="1"/>
  <c r="AH21" i="17"/>
  <c r="K10" i="12"/>
  <c r="V9" i="12" s="1"/>
  <c r="AC21" i="17"/>
  <c r="AY9" i="12"/>
  <c r="AF21" i="17"/>
  <c r="K64" i="12"/>
  <c r="BX9" i="12" s="1"/>
  <c r="AI21" i="17"/>
  <c r="K38" i="12"/>
  <c r="X37" i="12" s="1"/>
  <c r="AE21" i="17"/>
  <c r="K79" i="12"/>
  <c r="I79" i="12"/>
  <c r="AR12" i="15"/>
  <c r="AT12" i="15"/>
  <c r="AU12" i="15"/>
  <c r="BD11" i="15"/>
  <c r="BF11" i="15"/>
  <c r="BG11" i="15"/>
  <c r="BC11" i="15"/>
  <c r="AR11" i="15"/>
  <c r="AT11" i="15"/>
  <c r="AU11" i="15"/>
  <c r="D16" i="16"/>
  <c r="E16" i="16"/>
  <c r="X64" i="12" l="1"/>
  <c r="BF9" i="12"/>
  <c r="X44" i="12"/>
  <c r="AX9" i="12"/>
  <c r="X12" i="12"/>
  <c r="X11" i="12"/>
  <c r="BH9" i="12"/>
  <c r="J79" i="12"/>
  <c r="L79" i="12"/>
  <c r="BT9" i="12"/>
  <c r="AA21" i="17"/>
  <c r="AL27" i="16"/>
  <c r="AM27" i="16"/>
  <c r="AN27" i="16"/>
  <c r="AO27" i="16"/>
  <c r="AP27" i="16"/>
  <c r="AQ27" i="16"/>
  <c r="AR27" i="16"/>
  <c r="AS27" i="16"/>
  <c r="AM20" i="16"/>
  <c r="AL20" i="16"/>
  <c r="AK20" i="16"/>
  <c r="AH20" i="16"/>
  <c r="AG20" i="16"/>
  <c r="AF20" i="16"/>
  <c r="AE20" i="16"/>
  <c r="AD20" i="16"/>
  <c r="AC20" i="16"/>
  <c r="AB20" i="16"/>
  <c r="AM19" i="16"/>
  <c r="AL19" i="16"/>
  <c r="AJ19" i="16"/>
  <c r="AH19" i="16"/>
  <c r="AG19" i="16"/>
  <c r="AF19" i="16"/>
  <c r="AE19" i="16"/>
  <c r="AD19" i="16"/>
  <c r="AC19" i="16"/>
  <c r="AB19" i="16"/>
  <c r="AM18" i="16"/>
  <c r="AL18" i="16"/>
  <c r="AJ18" i="16"/>
  <c r="AH18" i="16"/>
  <c r="AG18" i="16"/>
  <c r="AF18" i="16"/>
  <c r="AE18" i="16"/>
  <c r="AD18" i="16"/>
  <c r="AC18" i="16"/>
  <c r="AB18" i="16"/>
  <c r="AM17" i="16"/>
  <c r="AL17" i="16"/>
  <c r="AK17" i="16"/>
  <c r="AJ17" i="16"/>
  <c r="AH17" i="16"/>
  <c r="AG17" i="16"/>
  <c r="AF17" i="16"/>
  <c r="AE17" i="16"/>
  <c r="AD17" i="16"/>
  <c r="AC17" i="16"/>
  <c r="AB17" i="16"/>
  <c r="AM16" i="16"/>
  <c r="AL16" i="16"/>
  <c r="AK16" i="16"/>
  <c r="AJ16" i="16"/>
  <c r="AH16" i="16"/>
  <c r="AG16" i="16"/>
  <c r="AF16" i="16"/>
  <c r="AE16" i="16"/>
  <c r="AD16" i="16"/>
  <c r="AC16" i="16"/>
  <c r="AB16" i="16"/>
  <c r="AJ15" i="16"/>
  <c r="AH15" i="16"/>
  <c r="AG15" i="16"/>
  <c r="AF15" i="16"/>
  <c r="AE15" i="16"/>
  <c r="AD15" i="16"/>
  <c r="AC15" i="16"/>
  <c r="AB15" i="16"/>
  <c r="AJ14" i="16"/>
  <c r="AH14" i="16"/>
  <c r="AG14" i="16"/>
  <c r="AF14" i="16"/>
  <c r="AE14" i="16"/>
  <c r="AD14" i="16"/>
  <c r="AC14" i="16"/>
  <c r="AB14" i="16"/>
  <c r="AJ13" i="16"/>
  <c r="AH13" i="16"/>
  <c r="AG13" i="16"/>
  <c r="AF13" i="16"/>
  <c r="AE13" i="16"/>
  <c r="AD13" i="16"/>
  <c r="AC13" i="16"/>
  <c r="AB13" i="16"/>
  <c r="AM12" i="16"/>
  <c r="AL12" i="16"/>
  <c r="AJ12" i="16"/>
  <c r="AH12" i="16"/>
  <c r="AG12" i="16"/>
  <c r="AF12" i="16"/>
  <c r="AE12" i="16"/>
  <c r="AD12" i="16"/>
  <c r="AC12" i="16"/>
  <c r="AB12" i="16"/>
  <c r="AM11" i="16"/>
  <c r="AL11" i="16"/>
  <c r="AK11" i="16"/>
  <c r="AH11" i="16"/>
  <c r="AG11" i="16"/>
  <c r="AF11" i="16"/>
  <c r="AE11" i="16"/>
  <c r="AD11" i="16"/>
  <c r="AC11" i="16"/>
  <c r="AB11" i="16"/>
  <c r="AM10" i="16"/>
  <c r="AL10" i="16"/>
  <c r="AK10" i="16"/>
  <c r="AH10" i="16"/>
  <c r="AG10" i="16"/>
  <c r="AF10" i="16"/>
  <c r="AE10" i="16"/>
  <c r="AD10" i="16"/>
  <c r="AC10" i="16"/>
  <c r="AB10" i="16"/>
  <c r="AJ9" i="16"/>
  <c r="AH9" i="16"/>
  <c r="AG9" i="16"/>
  <c r="AF9" i="16"/>
  <c r="AE9" i="16"/>
  <c r="AD9" i="16"/>
  <c r="AC9" i="16"/>
  <c r="AB9" i="16"/>
  <c r="AM8" i="16"/>
  <c r="AL8" i="16"/>
  <c r="AK8" i="16"/>
  <c r="AH8" i="16"/>
  <c r="AG8" i="16"/>
  <c r="AF8" i="16"/>
  <c r="AE8" i="16"/>
  <c r="AD8" i="16"/>
  <c r="AC8" i="16"/>
  <c r="AB8" i="16"/>
  <c r="Z21" i="17" l="1"/>
  <c r="X21" i="17" s="1"/>
  <c r="U20" i="16"/>
  <c r="U19" i="16" s="1"/>
  <c r="N79" i="11" l="1"/>
  <c r="N79" i="10" s="1"/>
  <c r="L79" i="11"/>
  <c r="L79" i="10" s="1"/>
  <c r="AT27" i="16"/>
  <c r="U16" i="16"/>
  <c r="M18" i="16" l="1"/>
  <c r="N18" i="16"/>
  <c r="O18" i="16"/>
  <c r="P18" i="16"/>
  <c r="Q18" i="16"/>
  <c r="R18" i="16"/>
  <c r="S18" i="16"/>
  <c r="T18" i="16"/>
  <c r="J79" i="10" l="1"/>
  <c r="J79" i="11"/>
  <c r="Z27" i="16"/>
  <c r="AK18" i="16"/>
  <c r="AM15" i="16"/>
  <c r="AM13" i="16"/>
  <c r="AK19" i="16"/>
  <c r="Y27" i="16" l="1"/>
  <c r="X27" i="16" s="1"/>
  <c r="AL15" i="16"/>
  <c r="AK13" i="16"/>
  <c r="AL13" i="16"/>
  <c r="AA74" i="11"/>
  <c r="Z74" i="11"/>
  <c r="Y74" i="11"/>
  <c r="X74" i="11"/>
  <c r="U74" i="11"/>
  <c r="T74" i="11"/>
  <c r="S74" i="11"/>
  <c r="AA69" i="11"/>
  <c r="Z69" i="11"/>
  <c r="Y69" i="11"/>
  <c r="X69" i="11"/>
  <c r="U69" i="11"/>
  <c r="T69" i="11"/>
  <c r="S69" i="11"/>
  <c r="U64" i="11"/>
  <c r="T64" i="11"/>
  <c r="S64" i="11"/>
  <c r="U60" i="11"/>
  <c r="T60" i="11"/>
  <c r="S60" i="11"/>
  <c r="AA42" i="11"/>
  <c r="Z42" i="11"/>
  <c r="Y42" i="11"/>
  <c r="X42" i="11"/>
  <c r="U42" i="11"/>
  <c r="T42" i="11"/>
  <c r="S42" i="11"/>
  <c r="T37" i="11"/>
  <c r="U37" i="11"/>
  <c r="S37" i="11"/>
  <c r="AA35" i="11"/>
  <c r="Z35" i="11"/>
  <c r="Y35" i="11"/>
  <c r="X35" i="11"/>
  <c r="U35" i="11"/>
  <c r="T35" i="11"/>
  <c r="S35" i="11"/>
  <c r="U12" i="11"/>
  <c r="T12" i="11"/>
  <c r="S12" i="11"/>
  <c r="T11" i="11"/>
  <c r="U11" i="11"/>
  <c r="S11" i="11"/>
  <c r="M16" i="2" l="1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N64" i="11" l="1"/>
  <c r="AA64" i="11" s="1"/>
  <c r="M64" i="11"/>
  <c r="BX10" i="11" s="1"/>
  <c r="L64" i="11"/>
  <c r="Y64" i="11" s="1"/>
  <c r="N60" i="11"/>
  <c r="AA60" i="11" s="1"/>
  <c r="L60" i="11"/>
  <c r="Y60" i="11" s="1"/>
  <c r="M60" i="11"/>
  <c r="Z60" i="11" s="1"/>
  <c r="N46" i="11"/>
  <c r="AA44" i="11" s="1"/>
  <c r="M46" i="11"/>
  <c r="Z44" i="11" s="1"/>
  <c r="L46" i="11"/>
  <c r="Y44" i="11" s="1"/>
  <c r="H50" i="11"/>
  <c r="U48" i="11" s="1"/>
  <c r="G50" i="11"/>
  <c r="T48" i="11" s="1"/>
  <c r="F50" i="11"/>
  <c r="S48" i="11" s="1"/>
  <c r="L50" i="11"/>
  <c r="Y48" i="11" s="1"/>
  <c r="M50" i="11"/>
  <c r="Z48" i="11" s="1"/>
  <c r="N50" i="11"/>
  <c r="AA48" i="11" s="1"/>
  <c r="K50" i="11"/>
  <c r="N38" i="11"/>
  <c r="AA37" i="11" s="1"/>
  <c r="L38" i="11"/>
  <c r="Y37" i="11" s="1"/>
  <c r="M38" i="11"/>
  <c r="Z37" i="11" s="1"/>
  <c r="L10" i="11"/>
  <c r="M10" i="11"/>
  <c r="N10" i="11"/>
  <c r="E10" i="11"/>
  <c r="S10" i="11"/>
  <c r="T10" i="11"/>
  <c r="U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Y10" i="11"/>
  <c r="AZ10" i="11"/>
  <c r="BA10" i="11"/>
  <c r="BB10" i="11"/>
  <c r="BC10" i="11"/>
  <c r="BD10" i="11"/>
  <c r="BE10" i="11"/>
  <c r="BG10" i="11"/>
  <c r="BH10" i="11"/>
  <c r="BI10" i="11"/>
  <c r="BK10" i="11"/>
  <c r="BL10" i="11"/>
  <c r="BM10" i="11"/>
  <c r="BN10" i="11"/>
  <c r="BO10" i="11"/>
  <c r="BP10" i="11"/>
  <c r="BQ10" i="11"/>
  <c r="BR10" i="11"/>
  <c r="BS10" i="11"/>
  <c r="BU10" i="11"/>
  <c r="BV10" i="11"/>
  <c r="BW10" i="11"/>
  <c r="BY10" i="11"/>
  <c r="BZ10" i="11"/>
  <c r="CA10" i="11"/>
  <c r="CB10" i="11"/>
  <c r="CD10" i="11"/>
  <c r="CE10" i="11"/>
  <c r="CF10" i="11"/>
  <c r="CG10" i="11"/>
  <c r="CH10" i="11"/>
  <c r="CI10" i="11"/>
  <c r="CJ10" i="11"/>
  <c r="CK10" i="11"/>
  <c r="BT10" i="11" l="1"/>
  <c r="BJ10" i="11"/>
  <c r="V10" i="11"/>
  <c r="Z12" i="11"/>
  <c r="Z11" i="11"/>
  <c r="J10" i="11"/>
  <c r="Y12" i="11"/>
  <c r="Y11" i="11"/>
  <c r="Z64" i="11"/>
  <c r="AX10" i="11"/>
  <c r="AA12" i="11"/>
  <c r="AA11" i="11"/>
  <c r="BF10" i="11"/>
  <c r="G11" i="2"/>
  <c r="O11" i="2" s="1"/>
  <c r="G12" i="2"/>
  <c r="G13" i="2"/>
  <c r="O13" i="2" s="1"/>
  <c r="G14" i="2"/>
  <c r="O14" i="2" s="1"/>
  <c r="G15" i="2"/>
  <c r="O15" i="2" s="1"/>
  <c r="G16" i="2"/>
  <c r="O16" i="2" s="1"/>
  <c r="O12" i="2" l="1"/>
  <c r="D26" i="3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AJ55" i="14"/>
  <c r="AK55" i="14"/>
  <c r="AL55" i="14"/>
  <c r="K55" i="14"/>
  <c r="F2" i="15" l="1"/>
  <c r="AQ13" i="15" l="1"/>
  <c r="AR13" i="15"/>
  <c r="AT13" i="15"/>
  <c r="AU13" i="15"/>
  <c r="BC12" i="15"/>
  <c r="BD12" i="15"/>
  <c r="BF12" i="15"/>
  <c r="BG12" i="15"/>
  <c r="BA12" i="15" s="1"/>
  <c r="AQ12" i="15"/>
  <c r="AI11" i="16"/>
  <c r="L16" i="16"/>
  <c r="M16" i="16"/>
  <c r="N16" i="16"/>
  <c r="O16" i="16"/>
  <c r="P16" i="16"/>
  <c r="Q16" i="16"/>
  <c r="R16" i="16"/>
  <c r="S16" i="16"/>
  <c r="T16" i="16"/>
  <c r="V16" i="16"/>
  <c r="W16" i="16"/>
  <c r="AI16" i="16"/>
  <c r="Z16" i="16" s="1"/>
  <c r="Y16" i="16" s="1"/>
  <c r="O8" i="16"/>
  <c r="P8" i="16"/>
  <c r="Q8" i="16"/>
  <c r="R8" i="16"/>
  <c r="S8" i="16"/>
  <c r="T8" i="16"/>
  <c r="V8" i="16"/>
  <c r="W8" i="16"/>
  <c r="L8" i="16"/>
  <c r="I79" i="10" s="1"/>
  <c r="M8" i="16"/>
  <c r="N8" i="16"/>
  <c r="K8" i="16"/>
  <c r="J8" i="16"/>
  <c r="I8" i="16"/>
  <c r="F8" i="16"/>
  <c r="G8" i="16"/>
  <c r="E8" i="16"/>
  <c r="X48" i="11" l="1"/>
  <c r="K48" i="11"/>
  <c r="AW12" i="15"/>
  <c r="AI20" i="16"/>
  <c r="AB23" i="16"/>
  <c r="X23" i="16" s="1"/>
  <c r="AB24" i="16"/>
  <c r="X24" i="16" s="1"/>
  <c r="AI10" i="16"/>
  <c r="AI8" i="16"/>
  <c r="K46" i="11"/>
  <c r="X44" i="11" s="1"/>
  <c r="AI19" i="16"/>
  <c r="Z19" i="16" s="1"/>
  <c r="Y19" i="16" s="1"/>
  <c r="AI12" i="16"/>
  <c r="K10" i="11"/>
  <c r="I10" i="11" s="1"/>
  <c r="AI15" i="16"/>
  <c r="AI13" i="16"/>
  <c r="Z13" i="16" s="1"/>
  <c r="Y13" i="16" s="1"/>
  <c r="K64" i="11"/>
  <c r="X64" i="11" s="1"/>
  <c r="K38" i="11"/>
  <c r="X37" i="11" s="1"/>
  <c r="AI9" i="16"/>
  <c r="Z9" i="16" s="1"/>
  <c r="Y9" i="16" s="1"/>
  <c r="AI18" i="16"/>
  <c r="Z18" i="16" s="1"/>
  <c r="Y18" i="16" s="1"/>
  <c r="AI17" i="16"/>
  <c r="Z17" i="16" s="1"/>
  <c r="Y17" i="16" s="1"/>
  <c r="K60" i="11"/>
  <c r="X60" i="11" s="1"/>
  <c r="AI14" i="16"/>
  <c r="Z14" i="16" s="1"/>
  <c r="I79" i="11"/>
  <c r="K79" i="11"/>
  <c r="K79" i="10" s="1"/>
  <c r="X12" i="11"/>
  <c r="AZ12" i="15"/>
  <c r="AX12" i="15"/>
  <c r="G10" i="2"/>
  <c r="D25" i="3" s="1"/>
  <c r="O10" i="2" l="1"/>
  <c r="X11" i="11"/>
  <c r="Y14" i="16"/>
  <c r="X14" i="16" s="1"/>
  <c r="H17" i="16"/>
  <c r="AJ11" i="16" l="1"/>
  <c r="Z11" i="16" s="1"/>
  <c r="Y11" i="16" s="1"/>
  <c r="AK12" i="16"/>
  <c r="Z12" i="16" s="1"/>
  <c r="AK15" i="16"/>
  <c r="Z15" i="16" s="1"/>
  <c r="X9" i="16"/>
  <c r="D15" i="15"/>
  <c r="D14" i="15"/>
  <c r="D13" i="15"/>
  <c r="Y12" i="16" l="1"/>
  <c r="X12" i="16"/>
  <c r="Y15" i="16"/>
  <c r="X15" i="16" s="1"/>
  <c r="C25" i="9"/>
  <c r="E28" i="9" l="1"/>
  <c r="E27" i="9"/>
  <c r="F9" i="9"/>
  <c r="F10" i="9"/>
  <c r="F11" i="9"/>
  <c r="F8" i="9"/>
  <c r="AX11" i="15"/>
  <c r="E9" i="9" s="1"/>
  <c r="AZ11" i="15"/>
  <c r="E10" i="9" s="1"/>
  <c r="AQ11" i="15"/>
  <c r="C23" i="9" l="1"/>
  <c r="BA11" i="15"/>
  <c r="E11" i="9" s="1"/>
  <c r="AW11" i="15"/>
  <c r="E8" i="9" s="1"/>
  <c r="C22" i="9" l="1"/>
  <c r="U19" i="22"/>
  <c r="U18" i="22"/>
  <c r="Z17" i="22"/>
  <c r="Y17" i="22"/>
  <c r="Z16" i="22"/>
  <c r="Y16" i="22"/>
  <c r="U15" i="22"/>
  <c r="U14" i="22"/>
  <c r="U13" i="22"/>
  <c r="Z12" i="22"/>
  <c r="Y12" i="22"/>
  <c r="Z11" i="22"/>
  <c r="Y11" i="22"/>
  <c r="A2" i="22"/>
  <c r="A1" i="22"/>
  <c r="D1" i="21"/>
  <c r="K16" i="20"/>
  <c r="J16" i="20"/>
  <c r="H16" i="20"/>
  <c r="G16" i="20"/>
  <c r="F16" i="20"/>
  <c r="D16" i="20"/>
  <c r="K15" i="20"/>
  <c r="J15" i="20"/>
  <c r="H15" i="20"/>
  <c r="G15" i="20"/>
  <c r="F15" i="20"/>
  <c r="D15" i="20"/>
  <c r="K12" i="20"/>
  <c r="J12" i="20"/>
  <c r="H12" i="20"/>
  <c r="G12" i="20"/>
  <c r="F12" i="20"/>
  <c r="D12" i="20"/>
  <c r="F1" i="20"/>
  <c r="U19" i="19"/>
  <c r="J27" i="19" s="1"/>
  <c r="T19" i="19"/>
  <c r="S19" i="19"/>
  <c r="R19" i="19"/>
  <c r="Q19" i="19"/>
  <c r="G19" i="19"/>
  <c r="F19" i="19"/>
  <c r="E19" i="19"/>
  <c r="U18" i="19"/>
  <c r="J26" i="19" s="1"/>
  <c r="T18" i="19"/>
  <c r="I26" i="19" s="1"/>
  <c r="S18" i="19"/>
  <c r="R18" i="19"/>
  <c r="G26" i="19" s="1"/>
  <c r="Q18" i="19"/>
  <c r="F26" i="19" s="1"/>
  <c r="G18" i="19"/>
  <c r="F18" i="19"/>
  <c r="E18" i="19"/>
  <c r="E16" i="19" s="1"/>
  <c r="AQ17" i="19"/>
  <c r="AP17" i="19"/>
  <c r="AO17" i="19"/>
  <c r="AN17" i="19"/>
  <c r="AM17" i="19"/>
  <c r="AL17" i="19"/>
  <c r="AK17" i="19"/>
  <c r="AI17" i="19"/>
  <c r="AH17" i="19"/>
  <c r="AG17" i="19"/>
  <c r="AF17" i="19"/>
  <c r="AE17" i="19"/>
  <c r="AC17" i="19"/>
  <c r="AB17" i="19"/>
  <c r="AA17" i="19"/>
  <c r="U17" i="19"/>
  <c r="T17" i="19"/>
  <c r="S17" i="19"/>
  <c r="R17" i="19"/>
  <c r="Q17" i="19"/>
  <c r="K14" i="20"/>
  <c r="J14" i="20"/>
  <c r="H14" i="20"/>
  <c r="G14" i="20"/>
  <c r="F14" i="20"/>
  <c r="G17" i="19"/>
  <c r="F17" i="19"/>
  <c r="E17" i="19"/>
  <c r="D14" i="20" s="1"/>
  <c r="AQ16" i="19"/>
  <c r="AP16" i="19"/>
  <c r="AO16" i="19"/>
  <c r="AN16" i="19"/>
  <c r="AM16" i="19"/>
  <c r="AL16" i="19"/>
  <c r="AK16" i="19"/>
  <c r="AI16" i="19"/>
  <c r="AH16" i="19"/>
  <c r="AG16" i="19"/>
  <c r="AF16" i="19"/>
  <c r="AE16" i="19"/>
  <c r="AC16" i="19"/>
  <c r="AB16" i="19"/>
  <c r="AA16" i="19"/>
  <c r="K13" i="20"/>
  <c r="J13" i="20"/>
  <c r="H13" i="20"/>
  <c r="G13" i="20"/>
  <c r="F13" i="20"/>
  <c r="N15" i="19"/>
  <c r="H15" i="19"/>
  <c r="AG9" i="19" s="1"/>
  <c r="D15" i="19"/>
  <c r="AG13" i="19" s="1"/>
  <c r="N14" i="19"/>
  <c r="H14" i="19"/>
  <c r="AF8" i="19" s="1"/>
  <c r="D14" i="19"/>
  <c r="N13" i="19"/>
  <c r="H13" i="19"/>
  <c r="AE10" i="19" s="1"/>
  <c r="D13" i="19"/>
  <c r="AE13" i="19" s="1"/>
  <c r="AG11" i="19"/>
  <c r="AF11" i="19"/>
  <c r="AE11" i="19"/>
  <c r="AD11" i="19"/>
  <c r="AC11" i="19"/>
  <c r="AB11" i="19"/>
  <c r="AA11" i="19"/>
  <c r="Z11" i="19"/>
  <c r="N11" i="19"/>
  <c r="H11" i="19"/>
  <c r="AC9" i="19" s="1"/>
  <c r="D11" i="19"/>
  <c r="N10" i="19"/>
  <c r="H10" i="19"/>
  <c r="D10" i="19"/>
  <c r="N9" i="19"/>
  <c r="H9" i="19"/>
  <c r="AA14" i="19" s="1"/>
  <c r="AA13" i="19"/>
  <c r="V5" i="19"/>
  <c r="A2" i="19"/>
  <c r="A1" i="19"/>
  <c r="C10" i="18"/>
  <c r="E12" i="18"/>
  <c r="C9" i="18"/>
  <c r="C8" i="18"/>
  <c r="C7" i="18"/>
  <c r="A1" i="18"/>
  <c r="X19" i="17"/>
  <c r="X18" i="17"/>
  <c r="X17" i="17"/>
  <c r="X16" i="17"/>
  <c r="X15" i="17"/>
  <c r="X14" i="17"/>
  <c r="X13" i="17"/>
  <c r="X12" i="17"/>
  <c r="X11" i="17"/>
  <c r="H8" i="17"/>
  <c r="A1" i="17"/>
  <c r="B10" i="18"/>
  <c r="B9" i="18"/>
  <c r="B8" i="18"/>
  <c r="B7" i="18"/>
  <c r="H8" i="16"/>
  <c r="AB29" i="16" s="1"/>
  <c r="A1" i="16"/>
  <c r="AN19" i="15"/>
  <c r="AK11" i="15"/>
  <c r="AY13" i="15" s="1"/>
  <c r="AD11" i="15"/>
  <c r="Y11" i="15"/>
  <c r="T11" i="15"/>
  <c r="F11" i="15"/>
  <c r="E11" i="15"/>
  <c r="C11" i="15"/>
  <c r="C17" i="16" s="1"/>
  <c r="A11" i="15"/>
  <c r="C8" i="16" s="1"/>
  <c r="G54" i="14"/>
  <c r="F54" i="14"/>
  <c r="E54" i="14"/>
  <c r="D54" i="14"/>
  <c r="C54" i="14"/>
  <c r="X17" i="22" l="1"/>
  <c r="W17" i="22" s="1"/>
  <c r="X11" i="22"/>
  <c r="U11" i="22" s="1"/>
  <c r="D8" i="18"/>
  <c r="L7" i="18" s="1"/>
  <c r="G16" i="19"/>
  <c r="X16" i="22"/>
  <c r="U16" i="22" s="1"/>
  <c r="F16" i="19"/>
  <c r="D11" i="20"/>
  <c r="D10" i="18"/>
  <c r="F10" i="18" s="1"/>
  <c r="N17" i="19"/>
  <c r="I14" i="20" s="1"/>
  <c r="X10" i="17"/>
  <c r="Z23" i="17"/>
  <c r="X23" i="17" s="1"/>
  <c r="N12" i="19"/>
  <c r="AJ11" i="19"/>
  <c r="X29" i="16"/>
  <c r="Z29" i="16"/>
  <c r="Y29" i="16" s="1"/>
  <c r="C16" i="16"/>
  <c r="C12" i="20"/>
  <c r="C8" i="17"/>
  <c r="F27" i="19"/>
  <c r="D7" i="21" s="1"/>
  <c r="G27" i="19"/>
  <c r="E7" i="21" s="1"/>
  <c r="S16" i="19"/>
  <c r="H25" i="19" s="1"/>
  <c r="H26" i="19"/>
  <c r="F6" i="21" s="1"/>
  <c r="H27" i="19"/>
  <c r="F7" i="21" s="1"/>
  <c r="I27" i="19"/>
  <c r="G7" i="21" s="1"/>
  <c r="D6" i="21"/>
  <c r="Q16" i="19"/>
  <c r="F25" i="19" s="1"/>
  <c r="H6" i="21"/>
  <c r="U16" i="19"/>
  <c r="J25" i="19" s="1"/>
  <c r="E6" i="21"/>
  <c r="R16" i="19"/>
  <c r="G25" i="19" s="1"/>
  <c r="G6" i="21"/>
  <c r="T16" i="19"/>
  <c r="I25" i="19" s="1"/>
  <c r="AF10" i="19"/>
  <c r="H12" i="19"/>
  <c r="AE8" i="19"/>
  <c r="C15" i="20"/>
  <c r="X12" i="22"/>
  <c r="N18" i="19"/>
  <c r="N8" i="19"/>
  <c r="N19" i="19"/>
  <c r="H18" i="19"/>
  <c r="E26" i="19" s="1"/>
  <c r="C6" i="21" s="1"/>
  <c r="H8" i="19"/>
  <c r="Z14" i="19" s="1"/>
  <c r="AF14" i="19"/>
  <c r="AF9" i="19"/>
  <c r="AF13" i="19"/>
  <c r="D12" i="19"/>
  <c r="AD13" i="19" s="1"/>
  <c r="D13" i="20"/>
  <c r="D10" i="20" s="1"/>
  <c r="D17" i="20" s="1"/>
  <c r="D18" i="19"/>
  <c r="D26" i="19" s="1"/>
  <c r="B6" i="21" s="1"/>
  <c r="D8" i="19"/>
  <c r="Z13" i="19" s="1"/>
  <c r="F11" i="20"/>
  <c r="AS12" i="15"/>
  <c r="AS11" i="15"/>
  <c r="BE12" i="15"/>
  <c r="BE11" i="15"/>
  <c r="C11" i="18"/>
  <c r="C12" i="18"/>
  <c r="AB26" i="16"/>
  <c r="X26" i="16" s="1"/>
  <c r="AK11" i="19"/>
  <c r="AI11" i="19"/>
  <c r="AE12" i="19"/>
  <c r="D19" i="19"/>
  <c r="N3" i="19"/>
  <c r="AC15" i="19"/>
  <c r="AA8" i="19"/>
  <c r="AB8" i="19"/>
  <c r="X16" i="19"/>
  <c r="W16" i="19" s="1"/>
  <c r="V16" i="19" s="1"/>
  <c r="Y10" i="22"/>
  <c r="AC13" i="19"/>
  <c r="M3" i="19"/>
  <c r="I12" i="20"/>
  <c r="AS13" i="15"/>
  <c r="G25" i="2" s="1"/>
  <c r="D26" i="2" s="1"/>
  <c r="AN18" i="15"/>
  <c r="AN16" i="15"/>
  <c r="H11" i="20"/>
  <c r="AN11" i="15"/>
  <c r="C16" i="20"/>
  <c r="K11" i="20"/>
  <c r="I16" i="20"/>
  <c r="K10" i="20"/>
  <c r="K17" i="20" s="1"/>
  <c r="G11" i="15"/>
  <c r="I15" i="20"/>
  <c r="H10" i="20"/>
  <c r="H17" i="20" s="1"/>
  <c r="X13" i="16"/>
  <c r="X16" i="16"/>
  <c r="B11" i="18"/>
  <c r="X19" i="16"/>
  <c r="G11" i="20"/>
  <c r="F10" i="20"/>
  <c r="F17" i="20" s="1"/>
  <c r="X20" i="17"/>
  <c r="AN12" i="15"/>
  <c r="I11" i="15"/>
  <c r="AF11" i="15"/>
  <c r="AN17" i="15"/>
  <c r="D9" i="18"/>
  <c r="AG14" i="19"/>
  <c r="AG12" i="19"/>
  <c r="AG10" i="19"/>
  <c r="AG8" i="19"/>
  <c r="AG15" i="19"/>
  <c r="G10" i="20"/>
  <c r="G17" i="20" s="1"/>
  <c r="AA15" i="19"/>
  <c r="AA9" i="19"/>
  <c r="H17" i="19"/>
  <c r="AA10" i="19"/>
  <c r="AA12" i="19"/>
  <c r="AE15" i="19"/>
  <c r="AE9" i="19"/>
  <c r="AE14" i="19"/>
  <c r="J11" i="20"/>
  <c r="X17" i="19"/>
  <c r="H7" i="21"/>
  <c r="AN20" i="15"/>
  <c r="AN15" i="15"/>
  <c r="B12" i="18"/>
  <c r="D7" i="18"/>
  <c r="AC14" i="19"/>
  <c r="AC12" i="19"/>
  <c r="AC10" i="19"/>
  <c r="AC8" i="19"/>
  <c r="H19" i="19"/>
  <c r="J10" i="20"/>
  <c r="J17" i="20" s="1"/>
  <c r="AB9" i="19"/>
  <c r="AB13" i="19"/>
  <c r="AB15" i="19"/>
  <c r="AF15" i="19"/>
  <c r="E9" i="22"/>
  <c r="Z10" i="22" s="1"/>
  <c r="U17" i="22"/>
  <c r="AB10" i="19"/>
  <c r="AB12" i="19"/>
  <c r="AF12" i="19"/>
  <c r="AB14" i="19"/>
  <c r="D17" i="19"/>
  <c r="D12" i="9"/>
  <c r="D15" i="9"/>
  <c r="D16" i="9"/>
  <c r="D17" i="9"/>
  <c r="D18" i="9"/>
  <c r="D19" i="9"/>
  <c r="D14" i="9"/>
  <c r="CK9" i="11"/>
  <c r="CJ9" i="11"/>
  <c r="CI9" i="11"/>
  <c r="CH9" i="11"/>
  <c r="CG9" i="11"/>
  <c r="CF9" i="11"/>
  <c r="CE9" i="11"/>
  <c r="CD9" i="11"/>
  <c r="CB9" i="11"/>
  <c r="CA9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N9" i="11"/>
  <c r="BM9" i="11"/>
  <c r="BL9" i="11"/>
  <c r="BK9" i="11"/>
  <c r="BJ9" i="11"/>
  <c r="BI9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D9" i="9"/>
  <c r="D10" i="9"/>
  <c r="D11" i="9"/>
  <c r="D8" i="9"/>
  <c r="P28" i="2"/>
  <c r="E71" i="11"/>
  <c r="E72" i="11"/>
  <c r="E73" i="11"/>
  <c r="E74" i="11"/>
  <c r="E75" i="11"/>
  <c r="E76" i="11"/>
  <c r="E77" i="11"/>
  <c r="E70" i="11"/>
  <c r="E68" i="11"/>
  <c r="E8" i="11"/>
  <c r="E9" i="11"/>
  <c r="V7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7" i="11"/>
  <c r="E70" i="12"/>
  <c r="E71" i="12"/>
  <c r="E72" i="12"/>
  <c r="E73" i="12"/>
  <c r="E74" i="12"/>
  <c r="E75" i="12"/>
  <c r="E76" i="12"/>
  <c r="E77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2" i="10" s="1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8" i="12"/>
  <c r="E8" i="10" s="1"/>
  <c r="E8" i="7" s="1"/>
  <c r="E9" i="12"/>
  <c r="E10" i="12"/>
  <c r="E11" i="12"/>
  <c r="E12" i="12"/>
  <c r="E7" i="12"/>
  <c r="P27" i="2"/>
  <c r="Z12" i="2"/>
  <c r="Y12" i="2"/>
  <c r="X12" i="2"/>
  <c r="W12" i="2"/>
  <c r="V12" i="2"/>
  <c r="U12" i="2"/>
  <c r="T12" i="2"/>
  <c r="Z11" i="2"/>
  <c r="Y11" i="2"/>
  <c r="X11" i="2"/>
  <c r="W11" i="2"/>
  <c r="V11" i="2"/>
  <c r="U11" i="2"/>
  <c r="T11" i="2"/>
  <c r="Z10" i="2"/>
  <c r="Y10" i="2"/>
  <c r="X10" i="2"/>
  <c r="W10" i="2"/>
  <c r="V10" i="2"/>
  <c r="U10" i="2"/>
  <c r="T10" i="2"/>
  <c r="A1" i="9"/>
  <c r="A1" i="12"/>
  <c r="A1" i="11"/>
  <c r="A1" i="6"/>
  <c r="A1" i="5"/>
  <c r="A1" i="4"/>
  <c r="A1" i="3"/>
  <c r="A1" i="2"/>
  <c r="M81" i="10"/>
  <c r="M55" i="7" s="1"/>
  <c r="J77" i="11"/>
  <c r="CK8" i="11" s="1"/>
  <c r="I77" i="11"/>
  <c r="J76" i="11"/>
  <c r="CJ8" i="11" s="1"/>
  <c r="I76" i="11"/>
  <c r="J75" i="11"/>
  <c r="CI8" i="11" s="1"/>
  <c r="I75" i="11"/>
  <c r="J74" i="11"/>
  <c r="CH8" i="11" s="1"/>
  <c r="I74" i="11"/>
  <c r="J73" i="11"/>
  <c r="CG8" i="11" s="1"/>
  <c r="I73" i="11"/>
  <c r="J72" i="11"/>
  <c r="CF8" i="11" s="1"/>
  <c r="I72" i="11"/>
  <c r="J71" i="11"/>
  <c r="CE8" i="11" s="1"/>
  <c r="I71" i="11"/>
  <c r="J70" i="11"/>
  <c r="CD8" i="11" s="1"/>
  <c r="I70" i="11"/>
  <c r="J68" i="11"/>
  <c r="CB8" i="11" s="1"/>
  <c r="I68" i="11"/>
  <c r="J67" i="11"/>
  <c r="I67" i="11"/>
  <c r="J66" i="11"/>
  <c r="BZ8" i="11" s="1"/>
  <c r="I66" i="11"/>
  <c r="J65" i="11"/>
  <c r="I65" i="11"/>
  <c r="J64" i="11"/>
  <c r="I64" i="11"/>
  <c r="J63" i="11"/>
  <c r="BW8" i="11" s="1"/>
  <c r="I63" i="11"/>
  <c r="J62" i="11"/>
  <c r="BV8" i="11" s="1"/>
  <c r="I62" i="11"/>
  <c r="J61" i="11"/>
  <c r="I61" i="11"/>
  <c r="J60" i="11"/>
  <c r="I60" i="11"/>
  <c r="J59" i="11"/>
  <c r="BS8" i="11" s="1"/>
  <c r="I59" i="11"/>
  <c r="BS7" i="11" s="1"/>
  <c r="J58" i="11"/>
  <c r="BR8" i="11" s="1"/>
  <c r="I58" i="11"/>
  <c r="J57" i="11"/>
  <c r="BQ8" i="11" s="1"/>
  <c r="I57" i="11"/>
  <c r="J56" i="11"/>
  <c r="I56" i="11"/>
  <c r="J55" i="11"/>
  <c r="I55" i="11"/>
  <c r="J54" i="11"/>
  <c r="BN8" i="11" s="1"/>
  <c r="I54" i="11"/>
  <c r="J53" i="11"/>
  <c r="BM8" i="11" s="1"/>
  <c r="I53" i="11"/>
  <c r="J52" i="11"/>
  <c r="BL8" i="11" s="1"/>
  <c r="I52" i="11"/>
  <c r="J51" i="11"/>
  <c r="BK8" i="11" s="1"/>
  <c r="I51" i="11"/>
  <c r="J50" i="11"/>
  <c r="BJ8" i="11" s="1"/>
  <c r="J49" i="11"/>
  <c r="I49" i="11"/>
  <c r="J48" i="11"/>
  <c r="BH8" i="11" s="1"/>
  <c r="I48" i="11"/>
  <c r="J47" i="11"/>
  <c r="BG8" i="11" s="1"/>
  <c r="I47" i="11"/>
  <c r="I47" i="10" s="1"/>
  <c r="I39" i="7" s="1"/>
  <c r="J46" i="11"/>
  <c r="I46" i="11"/>
  <c r="J45" i="11"/>
  <c r="BE8" i="11" s="1"/>
  <c r="I45" i="11"/>
  <c r="J44" i="11"/>
  <c r="I44" i="11"/>
  <c r="J43" i="11"/>
  <c r="I43" i="11"/>
  <c r="J42" i="11"/>
  <c r="I42" i="11"/>
  <c r="J41" i="11"/>
  <c r="I41" i="11"/>
  <c r="I41" i="10" s="1"/>
  <c r="J40" i="11"/>
  <c r="AZ8" i="11" s="1"/>
  <c r="I40" i="11"/>
  <c r="J39" i="11"/>
  <c r="AY8" i="11" s="1"/>
  <c r="I39" i="11"/>
  <c r="J38" i="11"/>
  <c r="I38" i="11"/>
  <c r="J37" i="11"/>
  <c r="I37" i="11"/>
  <c r="J36" i="11"/>
  <c r="AV8" i="11" s="1"/>
  <c r="I36" i="11"/>
  <c r="J35" i="11"/>
  <c r="I35" i="11"/>
  <c r="J34" i="11"/>
  <c r="I34" i="11"/>
  <c r="J33" i="11"/>
  <c r="AS8" i="11" s="1"/>
  <c r="I33" i="11"/>
  <c r="J32" i="11"/>
  <c r="AR8" i="11" s="1"/>
  <c r="I32" i="11"/>
  <c r="J31" i="11"/>
  <c r="AQ8" i="11" s="1"/>
  <c r="I31" i="11"/>
  <c r="J30" i="11"/>
  <c r="I30" i="11"/>
  <c r="J29" i="11"/>
  <c r="AO8" i="11" s="1"/>
  <c r="I29" i="11"/>
  <c r="J28" i="11"/>
  <c r="AN8" i="11" s="1"/>
  <c r="I28" i="11"/>
  <c r="J27" i="11"/>
  <c r="AM8" i="11" s="1"/>
  <c r="I27" i="11"/>
  <c r="J26" i="11"/>
  <c r="I26" i="11"/>
  <c r="J25" i="11"/>
  <c r="AK8" i="11" s="1"/>
  <c r="I25" i="11"/>
  <c r="J24" i="11"/>
  <c r="AJ8" i="11" s="1"/>
  <c r="I24" i="11"/>
  <c r="J23" i="11"/>
  <c r="I23" i="11"/>
  <c r="I23" i="10" s="1"/>
  <c r="I22" i="7" s="1"/>
  <c r="J22" i="11"/>
  <c r="AH8" i="11" s="1"/>
  <c r="I22" i="11"/>
  <c r="J21" i="11"/>
  <c r="AG8" i="11" s="1"/>
  <c r="I21" i="11"/>
  <c r="J20" i="11"/>
  <c r="I20" i="11"/>
  <c r="AF7" i="11" s="1"/>
  <c r="J19" i="11"/>
  <c r="AE8" i="11" s="1"/>
  <c r="I19" i="11"/>
  <c r="J18" i="11"/>
  <c r="AD8" i="11" s="1"/>
  <c r="I18" i="11"/>
  <c r="J17" i="11"/>
  <c r="I17" i="11"/>
  <c r="I17" i="10" s="1"/>
  <c r="I16" i="7" s="1"/>
  <c r="J16" i="11"/>
  <c r="I16" i="11"/>
  <c r="J15" i="11"/>
  <c r="AA8" i="11" s="1"/>
  <c r="I15" i="11"/>
  <c r="J14" i="11"/>
  <c r="Z8" i="11" s="1"/>
  <c r="I14" i="11"/>
  <c r="Z7" i="11" s="1"/>
  <c r="J13" i="11"/>
  <c r="Y8" i="11" s="1"/>
  <c r="I13" i="11"/>
  <c r="J12" i="11"/>
  <c r="X8" i="11" s="1"/>
  <c r="I12" i="11"/>
  <c r="J11" i="11"/>
  <c r="I11" i="11"/>
  <c r="V8" i="11"/>
  <c r="J9" i="11"/>
  <c r="I9" i="11"/>
  <c r="V12" i="11" s="1"/>
  <c r="J8" i="11"/>
  <c r="I8" i="11"/>
  <c r="J7" i="11"/>
  <c r="I7" i="11"/>
  <c r="I8" i="12"/>
  <c r="J8" i="12"/>
  <c r="T8" i="12" s="1"/>
  <c r="I9" i="12"/>
  <c r="J9" i="12"/>
  <c r="U8" i="12" s="1"/>
  <c r="I10" i="12"/>
  <c r="I10" i="10" s="1"/>
  <c r="J10" i="12"/>
  <c r="J10" i="10" s="1"/>
  <c r="I11" i="12"/>
  <c r="J11" i="12"/>
  <c r="W8" i="12" s="1"/>
  <c r="I12" i="12"/>
  <c r="J12" i="12"/>
  <c r="X8" i="12" s="1"/>
  <c r="I13" i="12"/>
  <c r="I13" i="10" s="1"/>
  <c r="I12" i="7" s="1"/>
  <c r="J13" i="12"/>
  <c r="Y8" i="12" s="1"/>
  <c r="I14" i="12"/>
  <c r="J14" i="12"/>
  <c r="Z8" i="12" s="1"/>
  <c r="I15" i="12"/>
  <c r="J15" i="12"/>
  <c r="AA8" i="12" s="1"/>
  <c r="I16" i="12"/>
  <c r="J16" i="12"/>
  <c r="AB8" i="12" s="1"/>
  <c r="I17" i="12"/>
  <c r="J17" i="12"/>
  <c r="AC8" i="12" s="1"/>
  <c r="I18" i="12"/>
  <c r="J18" i="12"/>
  <c r="AD8" i="12" s="1"/>
  <c r="I19" i="12"/>
  <c r="I19" i="10" s="1"/>
  <c r="I18" i="7" s="1"/>
  <c r="J19" i="12"/>
  <c r="AE8" i="12" s="1"/>
  <c r="I20" i="12"/>
  <c r="J20" i="12"/>
  <c r="AF8" i="12" s="1"/>
  <c r="I21" i="12"/>
  <c r="J21" i="12"/>
  <c r="AG8" i="12" s="1"/>
  <c r="I22" i="12"/>
  <c r="J22" i="12"/>
  <c r="AH8" i="12" s="1"/>
  <c r="I23" i="12"/>
  <c r="J23" i="12"/>
  <c r="AI8" i="12" s="1"/>
  <c r="I24" i="12"/>
  <c r="J24" i="12"/>
  <c r="AJ8" i="12" s="1"/>
  <c r="I25" i="12"/>
  <c r="J25" i="12"/>
  <c r="AK8" i="12" s="1"/>
  <c r="I26" i="12"/>
  <c r="J26" i="12"/>
  <c r="AL8" i="12" s="1"/>
  <c r="I27" i="12"/>
  <c r="J27" i="12"/>
  <c r="AM8" i="12" s="1"/>
  <c r="I28" i="12"/>
  <c r="J28" i="12"/>
  <c r="AN8" i="12" s="1"/>
  <c r="I29" i="12"/>
  <c r="J29" i="12"/>
  <c r="AO8" i="12" s="1"/>
  <c r="I30" i="12"/>
  <c r="J30" i="12"/>
  <c r="AP8" i="12" s="1"/>
  <c r="I31" i="12"/>
  <c r="J31" i="12"/>
  <c r="AQ8" i="12" s="1"/>
  <c r="I32" i="12"/>
  <c r="J32" i="12"/>
  <c r="AR8" i="12" s="1"/>
  <c r="I33" i="12"/>
  <c r="J33" i="12"/>
  <c r="AS8" i="12" s="1"/>
  <c r="I34" i="12"/>
  <c r="I34" i="10" s="1"/>
  <c r="I33" i="7" s="1"/>
  <c r="J34" i="12"/>
  <c r="AT8" i="12" s="1"/>
  <c r="I35" i="12"/>
  <c r="J35" i="12"/>
  <c r="I36" i="12"/>
  <c r="J36" i="12"/>
  <c r="AV8" i="12" s="1"/>
  <c r="I37" i="12"/>
  <c r="J37" i="12"/>
  <c r="AW8" i="12" s="1"/>
  <c r="I38" i="12"/>
  <c r="J38" i="12"/>
  <c r="I39" i="12"/>
  <c r="J39" i="12"/>
  <c r="AY8" i="12" s="1"/>
  <c r="I40" i="12"/>
  <c r="I40" i="10" s="1"/>
  <c r="J40" i="12"/>
  <c r="AZ8" i="12" s="1"/>
  <c r="I41" i="12"/>
  <c r="J41" i="12"/>
  <c r="BA8" i="12" s="1"/>
  <c r="I42" i="12"/>
  <c r="J42" i="12"/>
  <c r="I43" i="12"/>
  <c r="J43" i="12"/>
  <c r="BC8" i="12" s="1"/>
  <c r="I44" i="12"/>
  <c r="J44" i="12"/>
  <c r="BD8" i="12" s="1"/>
  <c r="I45" i="12"/>
  <c r="J45" i="12"/>
  <c r="BE8" i="12" s="1"/>
  <c r="I46" i="12"/>
  <c r="J46" i="12"/>
  <c r="I47" i="12"/>
  <c r="J47" i="12"/>
  <c r="BG8" i="12" s="1"/>
  <c r="I48" i="12"/>
  <c r="J48" i="12"/>
  <c r="I49" i="12"/>
  <c r="J49" i="12"/>
  <c r="BI8" i="12" s="1"/>
  <c r="I50" i="12"/>
  <c r="J50" i="12"/>
  <c r="BJ8" i="12" s="1"/>
  <c r="I51" i="12"/>
  <c r="J51" i="12"/>
  <c r="BK8" i="12" s="1"/>
  <c r="I52" i="12"/>
  <c r="I52" i="10" s="1"/>
  <c r="J52" i="12"/>
  <c r="BL8" i="12" s="1"/>
  <c r="I53" i="12"/>
  <c r="J53" i="12"/>
  <c r="BM8" i="12" s="1"/>
  <c r="I54" i="12"/>
  <c r="J54" i="12"/>
  <c r="BN8" i="12" s="1"/>
  <c r="I55" i="12"/>
  <c r="J55" i="12"/>
  <c r="BO8" i="12" s="1"/>
  <c r="I56" i="12"/>
  <c r="J56" i="12"/>
  <c r="BP8" i="12" s="1"/>
  <c r="I57" i="12"/>
  <c r="J57" i="12"/>
  <c r="BQ8" i="12" s="1"/>
  <c r="I58" i="12"/>
  <c r="J58" i="12"/>
  <c r="BR8" i="12" s="1"/>
  <c r="I59" i="12"/>
  <c r="J59" i="12"/>
  <c r="BS8" i="12" s="1"/>
  <c r="I60" i="12"/>
  <c r="J60" i="12"/>
  <c r="I61" i="12"/>
  <c r="J61" i="12"/>
  <c r="BU8" i="12" s="1"/>
  <c r="I62" i="12"/>
  <c r="J62" i="12"/>
  <c r="BV8" i="12" s="1"/>
  <c r="I63" i="12"/>
  <c r="J63" i="12"/>
  <c r="BW8" i="12" s="1"/>
  <c r="I64" i="12"/>
  <c r="J64" i="12"/>
  <c r="I65" i="12"/>
  <c r="J65" i="12"/>
  <c r="BY8" i="12" s="1"/>
  <c r="I66" i="12"/>
  <c r="J66" i="12"/>
  <c r="BZ8" i="12" s="1"/>
  <c r="I67" i="12"/>
  <c r="J67" i="12"/>
  <c r="CA8" i="12" s="1"/>
  <c r="I68" i="12"/>
  <c r="J68" i="12"/>
  <c r="CB8" i="12" s="1"/>
  <c r="I70" i="12"/>
  <c r="J70" i="12"/>
  <c r="I71" i="12"/>
  <c r="J71" i="12"/>
  <c r="CE8" i="12" s="1"/>
  <c r="I72" i="12"/>
  <c r="J72" i="12"/>
  <c r="CF8" i="12" s="1"/>
  <c r="I73" i="12"/>
  <c r="J73" i="12"/>
  <c r="I74" i="12"/>
  <c r="J74" i="12"/>
  <c r="I75" i="12"/>
  <c r="J75" i="12"/>
  <c r="CI8" i="12" s="1"/>
  <c r="I76" i="12"/>
  <c r="J76" i="12"/>
  <c r="CJ8" i="12" s="1"/>
  <c r="I77" i="12"/>
  <c r="J77" i="12"/>
  <c r="CK8" i="12" s="1"/>
  <c r="N77" i="10"/>
  <c r="M77" i="10"/>
  <c r="L77" i="10"/>
  <c r="K77" i="10"/>
  <c r="H77" i="10"/>
  <c r="G77" i="10"/>
  <c r="F77" i="10"/>
  <c r="N76" i="10"/>
  <c r="M76" i="10"/>
  <c r="L76" i="10"/>
  <c r="K76" i="10"/>
  <c r="J76" i="10"/>
  <c r="H76" i="10"/>
  <c r="G76" i="10"/>
  <c r="F76" i="10"/>
  <c r="N75" i="10"/>
  <c r="N40" i="7" s="1"/>
  <c r="M75" i="10"/>
  <c r="M40" i="7" s="1"/>
  <c r="L75" i="10"/>
  <c r="L40" i="7" s="1"/>
  <c r="K75" i="10"/>
  <c r="H75" i="10"/>
  <c r="G75" i="10"/>
  <c r="F75" i="10"/>
  <c r="N74" i="10"/>
  <c r="M74" i="10"/>
  <c r="L74" i="10"/>
  <c r="K74" i="10"/>
  <c r="H74" i="10"/>
  <c r="G74" i="10"/>
  <c r="F74" i="10"/>
  <c r="E74" i="10"/>
  <c r="N73" i="10"/>
  <c r="M73" i="10"/>
  <c r="L73" i="10"/>
  <c r="K73" i="10"/>
  <c r="H73" i="10"/>
  <c r="G73" i="10"/>
  <c r="F73" i="10"/>
  <c r="N72" i="10"/>
  <c r="M72" i="10"/>
  <c r="L72" i="10"/>
  <c r="K72" i="10"/>
  <c r="H72" i="10"/>
  <c r="G72" i="10"/>
  <c r="F72" i="10"/>
  <c r="N71" i="10"/>
  <c r="M71" i="10"/>
  <c r="L71" i="10"/>
  <c r="K71" i="10"/>
  <c r="H71" i="10"/>
  <c r="G71" i="10"/>
  <c r="F71" i="10"/>
  <c r="E71" i="10"/>
  <c r="N70" i="10"/>
  <c r="M70" i="10"/>
  <c r="L70" i="10"/>
  <c r="K70" i="10"/>
  <c r="H70" i="10"/>
  <c r="G70" i="10"/>
  <c r="F70" i="10"/>
  <c r="N68" i="10"/>
  <c r="M68" i="10"/>
  <c r="L68" i="10"/>
  <c r="K68" i="10"/>
  <c r="H68" i="10"/>
  <c r="G68" i="10"/>
  <c r="F68" i="10"/>
  <c r="N67" i="10"/>
  <c r="M67" i="10"/>
  <c r="L67" i="10"/>
  <c r="K67" i="10"/>
  <c r="H67" i="10"/>
  <c r="G67" i="10"/>
  <c r="F67" i="10"/>
  <c r="N66" i="10"/>
  <c r="N51" i="7" s="1"/>
  <c r="M66" i="10"/>
  <c r="M51" i="7" s="1"/>
  <c r="L66" i="10"/>
  <c r="L51" i="7" s="1"/>
  <c r="K66" i="10"/>
  <c r="K51" i="7" s="1"/>
  <c r="H66" i="10"/>
  <c r="H51" i="7" s="1"/>
  <c r="G66" i="10"/>
  <c r="G51" i="7" s="1"/>
  <c r="F66" i="10"/>
  <c r="N65" i="10"/>
  <c r="N50" i="7" s="1"/>
  <c r="M65" i="10"/>
  <c r="M50" i="7" s="1"/>
  <c r="L65" i="10"/>
  <c r="K65" i="10"/>
  <c r="K50" i="7" s="1"/>
  <c r="H65" i="10"/>
  <c r="G65" i="10"/>
  <c r="G50" i="7" s="1"/>
  <c r="F65" i="10"/>
  <c r="F50" i="7" s="1"/>
  <c r="N64" i="10"/>
  <c r="M64" i="10"/>
  <c r="L64" i="10"/>
  <c r="K64" i="10"/>
  <c r="H64" i="10"/>
  <c r="G64" i="10"/>
  <c r="F64" i="10"/>
  <c r="F49" i="7" s="1"/>
  <c r="N63" i="10"/>
  <c r="N48" i="7" s="1"/>
  <c r="M63" i="10"/>
  <c r="M48" i="7" s="1"/>
  <c r="L63" i="10"/>
  <c r="L48" i="7" s="1"/>
  <c r="K63" i="10"/>
  <c r="K48" i="7" s="1"/>
  <c r="H63" i="10"/>
  <c r="G63" i="10"/>
  <c r="G48" i="7" s="1"/>
  <c r="F63" i="10"/>
  <c r="F48" i="7" s="1"/>
  <c r="N62" i="10"/>
  <c r="N47" i="7" s="1"/>
  <c r="M62" i="10"/>
  <c r="M47" i="7" s="1"/>
  <c r="L62" i="10"/>
  <c r="K62" i="10"/>
  <c r="K47" i="7" s="1"/>
  <c r="H62" i="10"/>
  <c r="G62" i="10"/>
  <c r="G47" i="7" s="1"/>
  <c r="F62" i="10"/>
  <c r="N61" i="10"/>
  <c r="M61" i="10"/>
  <c r="L61" i="10"/>
  <c r="K61" i="10"/>
  <c r="H61" i="10"/>
  <c r="G61" i="10"/>
  <c r="F61" i="10"/>
  <c r="N60" i="10"/>
  <c r="M60" i="10"/>
  <c r="L60" i="10"/>
  <c r="K60" i="10"/>
  <c r="H60" i="10"/>
  <c r="G60" i="10"/>
  <c r="G46" i="7" s="1"/>
  <c r="F60" i="10"/>
  <c r="N59" i="10"/>
  <c r="M59" i="10"/>
  <c r="L59" i="10"/>
  <c r="K59" i="10"/>
  <c r="H59" i="10"/>
  <c r="G59" i="10"/>
  <c r="F59" i="10"/>
  <c r="E59" i="10"/>
  <c r="N58" i="10"/>
  <c r="M58" i="10"/>
  <c r="L58" i="10"/>
  <c r="K58" i="10"/>
  <c r="H58" i="10"/>
  <c r="G58" i="10"/>
  <c r="F58" i="10"/>
  <c r="N57" i="10"/>
  <c r="N45" i="7" s="1"/>
  <c r="M57" i="10"/>
  <c r="M45" i="7" s="1"/>
  <c r="L57" i="10"/>
  <c r="L45" i="7" s="1"/>
  <c r="K57" i="10"/>
  <c r="K45" i="7" s="1"/>
  <c r="H57" i="10"/>
  <c r="G57" i="10"/>
  <c r="F57" i="10"/>
  <c r="N56" i="10"/>
  <c r="M56" i="10"/>
  <c r="M44" i="7" s="1"/>
  <c r="L56" i="10"/>
  <c r="K56" i="10"/>
  <c r="H56" i="10"/>
  <c r="H44" i="7" s="1"/>
  <c r="G56" i="10"/>
  <c r="G44" i="7" s="1"/>
  <c r="F56" i="10"/>
  <c r="N55" i="10"/>
  <c r="M55" i="10"/>
  <c r="L55" i="10"/>
  <c r="K55" i="10"/>
  <c r="H55" i="10"/>
  <c r="G55" i="10"/>
  <c r="F55" i="10"/>
  <c r="N54" i="10"/>
  <c r="M54" i="10"/>
  <c r="L54" i="10"/>
  <c r="K54" i="10"/>
  <c r="H54" i="10"/>
  <c r="G54" i="10"/>
  <c r="F54" i="10"/>
  <c r="N53" i="10"/>
  <c r="M53" i="10"/>
  <c r="L53" i="10"/>
  <c r="K53" i="10"/>
  <c r="H53" i="10"/>
  <c r="G53" i="10"/>
  <c r="F53" i="10"/>
  <c r="E53" i="10"/>
  <c r="N52" i="10"/>
  <c r="M52" i="10"/>
  <c r="L52" i="10"/>
  <c r="K52" i="10"/>
  <c r="H52" i="10"/>
  <c r="G52" i="10"/>
  <c r="F52" i="10"/>
  <c r="N51" i="10"/>
  <c r="M51" i="10"/>
  <c r="L51" i="10"/>
  <c r="K51" i="10"/>
  <c r="H51" i="10"/>
  <c r="G51" i="10"/>
  <c r="F51" i="10"/>
  <c r="N50" i="10"/>
  <c r="N43" i="7" s="1"/>
  <c r="M50" i="10"/>
  <c r="M43" i="7" s="1"/>
  <c r="L50" i="10"/>
  <c r="L43" i="7" s="1"/>
  <c r="K50" i="10"/>
  <c r="K43" i="7" s="1"/>
  <c r="H50" i="10"/>
  <c r="H43" i="7" s="1"/>
  <c r="G50" i="10"/>
  <c r="F50" i="10"/>
  <c r="N49" i="10"/>
  <c r="N42" i="7" s="1"/>
  <c r="M49" i="10"/>
  <c r="M42" i="7" s="1"/>
  <c r="L49" i="10"/>
  <c r="L42" i="7" s="1"/>
  <c r="K49" i="10"/>
  <c r="K42" i="7" s="1"/>
  <c r="H49" i="10"/>
  <c r="H42" i="7" s="1"/>
  <c r="G49" i="10"/>
  <c r="F49" i="10"/>
  <c r="F42" i="7" s="1"/>
  <c r="N48" i="10"/>
  <c r="N41" i="7" s="1"/>
  <c r="M48" i="10"/>
  <c r="M41" i="7" s="1"/>
  <c r="L48" i="10"/>
  <c r="L41" i="7" s="1"/>
  <c r="K48" i="10"/>
  <c r="K41" i="7" s="1"/>
  <c r="H48" i="10"/>
  <c r="H41" i="7" s="1"/>
  <c r="G48" i="10"/>
  <c r="G41" i="7" s="1"/>
  <c r="F48" i="10"/>
  <c r="F41" i="7" s="1"/>
  <c r="N47" i="10"/>
  <c r="N39" i="7" s="1"/>
  <c r="M47" i="10"/>
  <c r="L47" i="10"/>
  <c r="K47" i="10"/>
  <c r="K39" i="7" s="1"/>
  <c r="J47" i="10"/>
  <c r="H47" i="10"/>
  <c r="G47" i="10"/>
  <c r="BG9" i="10" s="1"/>
  <c r="F47" i="10"/>
  <c r="N46" i="10"/>
  <c r="M46" i="10"/>
  <c r="L46" i="10"/>
  <c r="K46" i="10"/>
  <c r="H46" i="10"/>
  <c r="G46" i="10"/>
  <c r="G38" i="7" s="1"/>
  <c r="F46" i="10"/>
  <c r="N45" i="10"/>
  <c r="M45" i="10"/>
  <c r="L45" i="10"/>
  <c r="L37" i="7" s="1"/>
  <c r="K45" i="10"/>
  <c r="K37" i="7" s="1"/>
  <c r="J45" i="10"/>
  <c r="J37" i="7" s="1"/>
  <c r="H45" i="10"/>
  <c r="G45" i="10"/>
  <c r="F45" i="10"/>
  <c r="N44" i="10"/>
  <c r="M44" i="10"/>
  <c r="L44" i="10"/>
  <c r="K44" i="10"/>
  <c r="H44" i="10"/>
  <c r="G44" i="10"/>
  <c r="F44" i="10"/>
  <c r="E44" i="10"/>
  <c r="N43" i="10"/>
  <c r="N36" i="7" s="1"/>
  <c r="M43" i="10"/>
  <c r="L43" i="10"/>
  <c r="L36" i="7" s="1"/>
  <c r="K43" i="10"/>
  <c r="K36" i="7" s="1"/>
  <c r="H43" i="10"/>
  <c r="G43" i="10"/>
  <c r="G36" i="7" s="1"/>
  <c r="F43" i="10"/>
  <c r="F36" i="7" s="1"/>
  <c r="N42" i="10"/>
  <c r="M42" i="10"/>
  <c r="L42" i="10"/>
  <c r="K42" i="10"/>
  <c r="H42" i="10"/>
  <c r="G42" i="10"/>
  <c r="F42" i="10"/>
  <c r="N41" i="10"/>
  <c r="M41" i="10"/>
  <c r="L41" i="10"/>
  <c r="K41" i="10"/>
  <c r="H41" i="10"/>
  <c r="G41" i="10"/>
  <c r="F41" i="10"/>
  <c r="N40" i="10"/>
  <c r="M40" i="10"/>
  <c r="L40" i="10"/>
  <c r="K40" i="10"/>
  <c r="H40" i="10"/>
  <c r="G40" i="10"/>
  <c r="F40" i="10"/>
  <c r="N39" i="10"/>
  <c r="N35" i="7" s="1"/>
  <c r="M39" i="10"/>
  <c r="M35" i="7" s="1"/>
  <c r="L39" i="10"/>
  <c r="K39" i="10"/>
  <c r="H39" i="10"/>
  <c r="G39" i="10"/>
  <c r="F39" i="10"/>
  <c r="F35" i="7" s="1"/>
  <c r="N38" i="10"/>
  <c r="M38" i="10"/>
  <c r="L38" i="10"/>
  <c r="K38" i="10"/>
  <c r="K34" i="7" s="1"/>
  <c r="H38" i="10"/>
  <c r="H34" i="7" s="1"/>
  <c r="G38" i="10"/>
  <c r="G34" i="7" s="1"/>
  <c r="F38" i="10"/>
  <c r="F34" i="7" s="1"/>
  <c r="N37" i="10"/>
  <c r="M37" i="10"/>
  <c r="L37" i="10"/>
  <c r="K37" i="10"/>
  <c r="H37" i="10"/>
  <c r="G37" i="10"/>
  <c r="F37" i="10"/>
  <c r="E37" i="10"/>
  <c r="N36" i="10"/>
  <c r="M36" i="10"/>
  <c r="L36" i="10"/>
  <c r="K36" i="10"/>
  <c r="H36" i="10"/>
  <c r="G36" i="10"/>
  <c r="F36" i="10"/>
  <c r="N35" i="10"/>
  <c r="M35" i="10"/>
  <c r="L35" i="10"/>
  <c r="K35" i="10"/>
  <c r="H35" i="10"/>
  <c r="G35" i="10"/>
  <c r="F35" i="10"/>
  <c r="N34" i="10"/>
  <c r="N33" i="7" s="1"/>
  <c r="M34" i="10"/>
  <c r="M33" i="7" s="1"/>
  <c r="L34" i="10"/>
  <c r="L33" i="7" s="1"/>
  <c r="K34" i="10"/>
  <c r="K33" i="7" s="1"/>
  <c r="H34" i="10"/>
  <c r="H33" i="7" s="1"/>
  <c r="G34" i="10"/>
  <c r="F34" i="10"/>
  <c r="N33" i="10"/>
  <c r="N32" i="7" s="1"/>
  <c r="M33" i="10"/>
  <c r="M32" i="7" s="1"/>
  <c r="L33" i="10"/>
  <c r="L32" i="7" s="1"/>
  <c r="K33" i="10"/>
  <c r="K32" i="7" s="1"/>
  <c r="J33" i="10"/>
  <c r="J32" i="7" s="1"/>
  <c r="H33" i="10"/>
  <c r="H32" i="7" s="1"/>
  <c r="G33" i="10"/>
  <c r="G32" i="7" s="1"/>
  <c r="F33" i="10"/>
  <c r="N32" i="10"/>
  <c r="N31" i="7" s="1"/>
  <c r="M32" i="10"/>
  <c r="L32" i="10"/>
  <c r="K32" i="10"/>
  <c r="K31" i="7" s="1"/>
  <c r="J32" i="10"/>
  <c r="J31" i="7" s="1"/>
  <c r="H32" i="10"/>
  <c r="G32" i="10"/>
  <c r="F32" i="10"/>
  <c r="N31" i="10"/>
  <c r="M31" i="10"/>
  <c r="M30" i="7" s="1"/>
  <c r="L31" i="10"/>
  <c r="L30" i="7" s="1"/>
  <c r="K31" i="10"/>
  <c r="K30" i="7" s="1"/>
  <c r="H31" i="10"/>
  <c r="G31" i="10"/>
  <c r="F31" i="10"/>
  <c r="N30" i="10"/>
  <c r="N29" i="7" s="1"/>
  <c r="M30" i="10"/>
  <c r="M29" i="7" s="1"/>
  <c r="L30" i="10"/>
  <c r="L29" i="7" s="1"/>
  <c r="K30" i="10"/>
  <c r="H30" i="10"/>
  <c r="G30" i="10"/>
  <c r="G29" i="7" s="1"/>
  <c r="F30" i="10"/>
  <c r="N29" i="10"/>
  <c r="M29" i="10"/>
  <c r="L29" i="10"/>
  <c r="L28" i="7" s="1"/>
  <c r="K29" i="10"/>
  <c r="K28" i="7" s="1"/>
  <c r="J29" i="10"/>
  <c r="H29" i="10"/>
  <c r="AO10" i="10" s="1"/>
  <c r="G29" i="10"/>
  <c r="F29" i="10"/>
  <c r="N28" i="10"/>
  <c r="M28" i="10"/>
  <c r="M27" i="7" s="1"/>
  <c r="L28" i="10"/>
  <c r="L27" i="7" s="1"/>
  <c r="K28" i="10"/>
  <c r="K27" i="7" s="1"/>
  <c r="H28" i="10"/>
  <c r="G28" i="10"/>
  <c r="F28" i="10"/>
  <c r="N27" i="10"/>
  <c r="N26" i="7" s="1"/>
  <c r="M27" i="10"/>
  <c r="M26" i="7" s="1"/>
  <c r="L27" i="10"/>
  <c r="L26" i="7" s="1"/>
  <c r="K27" i="10"/>
  <c r="K26" i="7" s="1"/>
  <c r="I27" i="10"/>
  <c r="I26" i="7" s="1"/>
  <c r="H27" i="10"/>
  <c r="G27" i="10"/>
  <c r="G26" i="7" s="1"/>
  <c r="F27" i="10"/>
  <c r="N26" i="10"/>
  <c r="N25" i="7" s="1"/>
  <c r="M26" i="10"/>
  <c r="M25" i="7" s="1"/>
  <c r="L26" i="10"/>
  <c r="L25" i="7" s="1"/>
  <c r="K26" i="10"/>
  <c r="K25" i="7" s="1"/>
  <c r="H26" i="10"/>
  <c r="G26" i="10"/>
  <c r="F26" i="10"/>
  <c r="N25" i="10"/>
  <c r="M25" i="10"/>
  <c r="L25" i="10"/>
  <c r="L24" i="7" s="1"/>
  <c r="K25" i="10"/>
  <c r="K24" i="7" s="1"/>
  <c r="H25" i="10"/>
  <c r="H24" i="7" s="1"/>
  <c r="G25" i="10"/>
  <c r="F25" i="10"/>
  <c r="N24" i="10"/>
  <c r="N23" i="7" s="1"/>
  <c r="M24" i="10"/>
  <c r="M23" i="7" s="1"/>
  <c r="L24" i="10"/>
  <c r="L23" i="7" s="1"/>
  <c r="K24" i="10"/>
  <c r="K23" i="7" s="1"/>
  <c r="J24" i="10"/>
  <c r="J23" i="7" s="1"/>
  <c r="I24" i="10"/>
  <c r="I23" i="7" s="1"/>
  <c r="H24" i="10"/>
  <c r="G24" i="10"/>
  <c r="F24" i="10"/>
  <c r="N23" i="10"/>
  <c r="N22" i="7" s="1"/>
  <c r="M23" i="10"/>
  <c r="M22" i="7" s="1"/>
  <c r="L23" i="10"/>
  <c r="L22" i="7" s="1"/>
  <c r="K23" i="10"/>
  <c r="K22" i="7" s="1"/>
  <c r="H23" i="10"/>
  <c r="G23" i="10"/>
  <c r="F23" i="10"/>
  <c r="N22" i="10"/>
  <c r="N21" i="7" s="1"/>
  <c r="M22" i="10"/>
  <c r="M21" i="7" s="1"/>
  <c r="L22" i="10"/>
  <c r="L21" i="7" s="1"/>
  <c r="K22" i="10"/>
  <c r="K21" i="7" s="1"/>
  <c r="H22" i="10"/>
  <c r="G22" i="10"/>
  <c r="F22" i="10"/>
  <c r="N21" i="10"/>
  <c r="N20" i="7" s="1"/>
  <c r="M21" i="10"/>
  <c r="M20" i="7" s="1"/>
  <c r="L21" i="10"/>
  <c r="L20" i="7" s="1"/>
  <c r="K21" i="10"/>
  <c r="K20" i="7" s="1"/>
  <c r="J21" i="10"/>
  <c r="J20" i="7" s="1"/>
  <c r="I21" i="10"/>
  <c r="I20" i="7" s="1"/>
  <c r="H21" i="10"/>
  <c r="G21" i="10"/>
  <c r="F21" i="10"/>
  <c r="N20" i="10"/>
  <c r="N19" i="7" s="1"/>
  <c r="M20" i="10"/>
  <c r="M19" i="7" s="1"/>
  <c r="L20" i="10"/>
  <c r="L19" i="7" s="1"/>
  <c r="K20" i="10"/>
  <c r="K19" i="7" s="1"/>
  <c r="H20" i="10"/>
  <c r="G20" i="10"/>
  <c r="F20" i="10"/>
  <c r="E20" i="10"/>
  <c r="E19" i="7" s="1"/>
  <c r="N19" i="10"/>
  <c r="N18" i="7" s="1"/>
  <c r="M19" i="10"/>
  <c r="M18" i="7" s="1"/>
  <c r="L19" i="10"/>
  <c r="L18" i="7" s="1"/>
  <c r="K19" i="10"/>
  <c r="K18" i="7" s="1"/>
  <c r="H19" i="10"/>
  <c r="G19" i="10"/>
  <c r="F19" i="10"/>
  <c r="F18" i="7" s="1"/>
  <c r="N18" i="10"/>
  <c r="N17" i="7" s="1"/>
  <c r="M18" i="10"/>
  <c r="M17" i="7" s="1"/>
  <c r="L18" i="10"/>
  <c r="K18" i="10"/>
  <c r="K17" i="7" s="1"/>
  <c r="J18" i="10"/>
  <c r="J17" i="7" s="1"/>
  <c r="H18" i="10"/>
  <c r="G18" i="10"/>
  <c r="F18" i="10"/>
  <c r="N17" i="10"/>
  <c r="N16" i="7" s="1"/>
  <c r="M17" i="10"/>
  <c r="M16" i="7" s="1"/>
  <c r="L17" i="10"/>
  <c r="L16" i="7" s="1"/>
  <c r="K17" i="10"/>
  <c r="K16" i="7" s="1"/>
  <c r="H17" i="10"/>
  <c r="G17" i="10"/>
  <c r="F17" i="10"/>
  <c r="E17" i="10"/>
  <c r="N16" i="10"/>
  <c r="N15" i="7" s="1"/>
  <c r="M16" i="10"/>
  <c r="M15" i="7" s="1"/>
  <c r="L16" i="10"/>
  <c r="L15" i="7" s="1"/>
  <c r="K16" i="10"/>
  <c r="K15" i="7" s="1"/>
  <c r="H16" i="10"/>
  <c r="G16" i="10"/>
  <c r="F16" i="10"/>
  <c r="F15" i="7" s="1"/>
  <c r="N15" i="10"/>
  <c r="N14" i="7" s="1"/>
  <c r="M15" i="10"/>
  <c r="M14" i="7" s="1"/>
  <c r="L15" i="10"/>
  <c r="L14" i="7" s="1"/>
  <c r="K15" i="10"/>
  <c r="K14" i="7" s="1"/>
  <c r="J15" i="10"/>
  <c r="I15" i="10"/>
  <c r="I14" i="7" s="1"/>
  <c r="H15" i="10"/>
  <c r="G15" i="10"/>
  <c r="F15" i="10"/>
  <c r="AA8" i="10" s="1"/>
  <c r="N14" i="10"/>
  <c r="N13" i="7" s="1"/>
  <c r="M14" i="10"/>
  <c r="M13" i="7" s="1"/>
  <c r="L14" i="10"/>
  <c r="L13" i="7" s="1"/>
  <c r="K14" i="10"/>
  <c r="K13" i="7" s="1"/>
  <c r="J14" i="10"/>
  <c r="J13" i="7" s="1"/>
  <c r="H14" i="10"/>
  <c r="G14" i="10"/>
  <c r="F14" i="10"/>
  <c r="N13" i="10"/>
  <c r="N12" i="7" s="1"/>
  <c r="M13" i="10"/>
  <c r="M12" i="7" s="1"/>
  <c r="L13" i="10"/>
  <c r="L12" i="7" s="1"/>
  <c r="K13" i="10"/>
  <c r="K12" i="7" s="1"/>
  <c r="H13" i="10"/>
  <c r="G13" i="10"/>
  <c r="F13" i="10"/>
  <c r="E13" i="10"/>
  <c r="N12" i="10"/>
  <c r="N11" i="7" s="1"/>
  <c r="M12" i="10"/>
  <c r="M11" i="7" s="1"/>
  <c r="L12" i="10"/>
  <c r="L11" i="7" s="1"/>
  <c r="K12" i="10"/>
  <c r="K11" i="7" s="1"/>
  <c r="I12" i="10"/>
  <c r="I11" i="7" s="1"/>
  <c r="H12" i="10"/>
  <c r="X10" i="10" s="1"/>
  <c r="G12" i="10"/>
  <c r="F12" i="10"/>
  <c r="N11" i="10"/>
  <c r="N10" i="7" s="1"/>
  <c r="M11" i="10"/>
  <c r="M10" i="7" s="1"/>
  <c r="L11" i="10"/>
  <c r="L10" i="7" s="1"/>
  <c r="K11" i="10"/>
  <c r="K10" i="7" s="1"/>
  <c r="J11" i="10"/>
  <c r="J10" i="7" s="1"/>
  <c r="H11" i="10"/>
  <c r="G11" i="10"/>
  <c r="F11" i="10"/>
  <c r="N10" i="10"/>
  <c r="M10" i="10"/>
  <c r="L10" i="10"/>
  <c r="K10" i="10"/>
  <c r="H10" i="10"/>
  <c r="H9" i="7" s="1"/>
  <c r="G10" i="10"/>
  <c r="F10" i="10"/>
  <c r="E10" i="10"/>
  <c r="E9" i="7" s="1"/>
  <c r="N9" i="10"/>
  <c r="M9" i="10"/>
  <c r="L9" i="10"/>
  <c r="K9" i="10"/>
  <c r="J9" i="10"/>
  <c r="H9" i="10"/>
  <c r="G9" i="10"/>
  <c r="F9" i="10"/>
  <c r="E9" i="10"/>
  <c r="N8" i="10"/>
  <c r="N8" i="7" s="1"/>
  <c r="M8" i="10"/>
  <c r="M8" i="7" s="1"/>
  <c r="L8" i="10"/>
  <c r="L8" i="7" s="1"/>
  <c r="K8" i="10"/>
  <c r="K8" i="7" s="1"/>
  <c r="H8" i="10"/>
  <c r="G8" i="10"/>
  <c r="F8" i="10"/>
  <c r="N7" i="10"/>
  <c r="M7" i="10"/>
  <c r="L7" i="10"/>
  <c r="K7" i="10"/>
  <c r="H7" i="10"/>
  <c r="G7" i="10"/>
  <c r="F7" i="10"/>
  <c r="N69" i="12"/>
  <c r="N78" i="12" s="1"/>
  <c r="AA78" i="12" s="1"/>
  <c r="M69" i="12"/>
  <c r="M78" i="12" s="1"/>
  <c r="Z78" i="12" s="1"/>
  <c r="L69" i="12"/>
  <c r="L78" i="12" s="1"/>
  <c r="Y78" i="12" s="1"/>
  <c r="K69" i="12"/>
  <c r="K78" i="12" s="1"/>
  <c r="H69" i="12"/>
  <c r="G69" i="12"/>
  <c r="F69" i="12"/>
  <c r="F78" i="12" s="1"/>
  <c r="J7" i="12"/>
  <c r="S8" i="12" s="1"/>
  <c r="I7" i="12"/>
  <c r="N69" i="11"/>
  <c r="N78" i="11" s="1"/>
  <c r="AA78" i="11" s="1"/>
  <c r="M69" i="11"/>
  <c r="M78" i="11" s="1"/>
  <c r="Z78" i="11" s="1"/>
  <c r="L69" i="11"/>
  <c r="L78" i="11" s="1"/>
  <c r="Y78" i="11" s="1"/>
  <c r="K69" i="11"/>
  <c r="K78" i="11" s="1"/>
  <c r="X78" i="11" s="1"/>
  <c r="H69" i="11"/>
  <c r="G69" i="11"/>
  <c r="G78" i="11" s="1"/>
  <c r="F69" i="11"/>
  <c r="F78" i="11" s="1"/>
  <c r="H49" i="7"/>
  <c r="L50" i="7"/>
  <c r="L47" i="7"/>
  <c r="F46" i="7"/>
  <c r="F44" i="7"/>
  <c r="K44" i="7"/>
  <c r="L44" i="7"/>
  <c r="N44" i="7"/>
  <c r="F40" i="7"/>
  <c r="G40" i="7"/>
  <c r="H40" i="7"/>
  <c r="K40" i="7"/>
  <c r="F37" i="7"/>
  <c r="N37" i="7"/>
  <c r="H39" i="7"/>
  <c r="J39" i="7"/>
  <c r="L39" i="7"/>
  <c r="M36" i="7"/>
  <c r="L35" i="7"/>
  <c r="L17" i="7"/>
  <c r="H19" i="7"/>
  <c r="F20" i="7"/>
  <c r="H22" i="7"/>
  <c r="M24" i="7"/>
  <c r="N24" i="7"/>
  <c r="G27" i="7"/>
  <c r="N27" i="7"/>
  <c r="J28" i="7"/>
  <c r="M28" i="7"/>
  <c r="N28" i="7"/>
  <c r="K29" i="7"/>
  <c r="F30" i="7"/>
  <c r="N30" i="7"/>
  <c r="G31" i="7"/>
  <c r="L31" i="7"/>
  <c r="M31" i="7"/>
  <c r="G33" i="7"/>
  <c r="F8" i="7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F7" i="6"/>
  <c r="G7" i="6"/>
  <c r="E7" i="6"/>
  <c r="E10" i="2"/>
  <c r="E11" i="2"/>
  <c r="E12" i="2"/>
  <c r="E13" i="2"/>
  <c r="E14" i="2"/>
  <c r="E15" i="2"/>
  <c r="E16" i="2"/>
  <c r="D11" i="2"/>
  <c r="D12" i="2"/>
  <c r="D13" i="2"/>
  <c r="D14" i="2"/>
  <c r="D15" i="2"/>
  <c r="D16" i="2"/>
  <c r="D10" i="2"/>
  <c r="H17" i="2"/>
  <c r="I17" i="2"/>
  <c r="K17" i="2"/>
  <c r="L17" i="2"/>
  <c r="M17" i="2"/>
  <c r="O17" i="2"/>
  <c r="G17" i="2"/>
  <c r="D27" i="3" s="1"/>
  <c r="E16" i="7"/>
  <c r="H30" i="7"/>
  <c r="H12" i="7"/>
  <c r="G37" i="7"/>
  <c r="E14" i="10"/>
  <c r="E22" i="10"/>
  <c r="E34" i="10"/>
  <c r="I56" i="10" l="1"/>
  <c r="I44" i="7" s="1"/>
  <c r="E30" i="10"/>
  <c r="E24" i="10"/>
  <c r="E18" i="10"/>
  <c r="E16" i="10"/>
  <c r="E12" i="10"/>
  <c r="D8" i="3"/>
  <c r="D7" i="3"/>
  <c r="D10" i="3"/>
  <c r="D6" i="3"/>
  <c r="D9" i="3"/>
  <c r="E60" i="10"/>
  <c r="E46" i="7" s="1"/>
  <c r="BN7" i="11"/>
  <c r="E62" i="10"/>
  <c r="E47" i="7" s="1"/>
  <c r="AJ7" i="10"/>
  <c r="E72" i="10"/>
  <c r="E29" i="10"/>
  <c r="E28" i="7" s="1"/>
  <c r="I42" i="10"/>
  <c r="BS10" i="10"/>
  <c r="E57" i="10"/>
  <c r="AA9" i="10"/>
  <c r="AR10" i="10"/>
  <c r="E55" i="10"/>
  <c r="CK7" i="11"/>
  <c r="J72" i="10"/>
  <c r="CF8" i="10" s="1"/>
  <c r="BM7" i="11"/>
  <c r="F8" i="18"/>
  <c r="E42" i="10"/>
  <c r="BB7" i="10" s="1"/>
  <c r="E69" i="12"/>
  <c r="E78" i="12" s="1"/>
  <c r="E67" i="10"/>
  <c r="E49" i="10"/>
  <c r="E42" i="7" s="1"/>
  <c r="E40" i="10"/>
  <c r="E36" i="10"/>
  <c r="E21" i="10"/>
  <c r="AG7" i="10" s="1"/>
  <c r="I77" i="10"/>
  <c r="N69" i="10"/>
  <c r="N52" i="7" s="1"/>
  <c r="I69" i="11"/>
  <c r="I78" i="11" s="1"/>
  <c r="V78" i="11" s="1"/>
  <c r="BZ7" i="11"/>
  <c r="E56" i="10"/>
  <c r="BM10" i="10"/>
  <c r="J42" i="10"/>
  <c r="E38" i="10"/>
  <c r="E34" i="7" s="1"/>
  <c r="I37" i="10"/>
  <c r="AW7" i="10" s="1"/>
  <c r="AL7" i="11"/>
  <c r="AB7" i="11"/>
  <c r="I9" i="10"/>
  <c r="V12" i="10" s="1"/>
  <c r="U7" i="10"/>
  <c r="G29" i="6"/>
  <c r="W11" i="22"/>
  <c r="I64" i="10"/>
  <c r="I49" i="7" s="1"/>
  <c r="J48" i="10"/>
  <c r="J41" i="7" s="1"/>
  <c r="Z9" i="19"/>
  <c r="J13" i="10"/>
  <c r="J12" i="7" s="1"/>
  <c r="AC7" i="10"/>
  <c r="AJ8" i="10"/>
  <c r="J25" i="10"/>
  <c r="J24" i="7" s="1"/>
  <c r="J52" i="10"/>
  <c r="BR10" i="10"/>
  <c r="CF10" i="10"/>
  <c r="I68" i="10"/>
  <c r="I26" i="10"/>
  <c r="I25" i="7" s="1"/>
  <c r="Y7" i="11"/>
  <c r="E46" i="10"/>
  <c r="E38" i="7" s="1"/>
  <c r="AJ12" i="19"/>
  <c r="W16" i="22"/>
  <c r="Y7" i="10"/>
  <c r="AT7" i="10"/>
  <c r="H28" i="7"/>
  <c r="Y9" i="10"/>
  <c r="AC10" i="10"/>
  <c r="AS10" i="10"/>
  <c r="J53" i="10"/>
  <c r="BM8" i="10" s="1"/>
  <c r="I59" i="10"/>
  <c r="BS7" i="10" s="1"/>
  <c r="Z15" i="19"/>
  <c r="Z12" i="19"/>
  <c r="H31" i="7"/>
  <c r="W10" i="10"/>
  <c r="AG8" i="10"/>
  <c r="J22" i="10"/>
  <c r="J21" i="7" s="1"/>
  <c r="AQ10" i="10"/>
  <c r="BA10" i="10"/>
  <c r="BN10" i="10"/>
  <c r="AJ7" i="11"/>
  <c r="E48" i="10"/>
  <c r="E41" i="7" s="1"/>
  <c r="Z8" i="10"/>
  <c r="AG9" i="10"/>
  <c r="AI10" i="10"/>
  <c r="AK10" i="10"/>
  <c r="J28" i="10"/>
  <c r="J27" i="7" s="1"/>
  <c r="J31" i="10"/>
  <c r="J30" i="7" s="1"/>
  <c r="U44" i="10"/>
  <c r="Z44" i="10"/>
  <c r="BL10" i="10"/>
  <c r="J57" i="10"/>
  <c r="J45" i="7" s="1"/>
  <c r="Z8" i="19"/>
  <c r="I11" i="20"/>
  <c r="I66" i="10"/>
  <c r="I51" i="7" s="1"/>
  <c r="V44" i="11"/>
  <c r="X44" i="10"/>
  <c r="S44" i="10"/>
  <c r="T44" i="10"/>
  <c r="BF8" i="12"/>
  <c r="W44" i="12"/>
  <c r="BF7" i="12"/>
  <c r="V44" i="12"/>
  <c r="N38" i="7"/>
  <c r="AA44" i="10"/>
  <c r="BF8" i="11"/>
  <c r="W44" i="11"/>
  <c r="L38" i="7"/>
  <c r="Y44" i="10"/>
  <c r="I48" i="10"/>
  <c r="I41" i="7" s="1"/>
  <c r="E29" i="6"/>
  <c r="F29" i="6"/>
  <c r="CE10" i="10"/>
  <c r="BE9" i="10"/>
  <c r="AD15" i="19"/>
  <c r="BZ9" i="10"/>
  <c r="I76" i="10"/>
  <c r="J68" i="10"/>
  <c r="J71" i="10"/>
  <c r="CE8" i="10" s="1"/>
  <c r="CJ8" i="10"/>
  <c r="E23" i="7"/>
  <c r="AZ10" i="10"/>
  <c r="E5" i="21"/>
  <c r="AV10" i="10"/>
  <c r="J40" i="10"/>
  <c r="AZ8" i="10" s="1"/>
  <c r="J54" i="10"/>
  <c r="BN8" i="10" s="1"/>
  <c r="BV10" i="10"/>
  <c r="I45" i="10"/>
  <c r="I37" i="7" s="1"/>
  <c r="AD14" i="19"/>
  <c r="AD10" i="19"/>
  <c r="AJ14" i="19"/>
  <c r="H5" i="21"/>
  <c r="S9" i="10"/>
  <c r="J58" i="10"/>
  <c r="BR8" i="10" s="1"/>
  <c r="AJ9" i="19"/>
  <c r="AH11" i="19"/>
  <c r="G5" i="21"/>
  <c r="BK9" i="10"/>
  <c r="I74" i="10"/>
  <c r="AY7" i="12"/>
  <c r="J64" i="10"/>
  <c r="J49" i="7" s="1"/>
  <c r="AD12" i="19"/>
  <c r="AJ8" i="19"/>
  <c r="E64" i="10"/>
  <c r="E49" i="7" s="1"/>
  <c r="CC10" i="11"/>
  <c r="BE8" i="10"/>
  <c r="J36" i="10"/>
  <c r="AV8" i="10" s="1"/>
  <c r="AG7" i="11"/>
  <c r="AO9" i="10"/>
  <c r="AP9" i="10"/>
  <c r="AR9" i="10"/>
  <c r="AS9" i="10"/>
  <c r="AA48" i="10"/>
  <c r="BI10" i="10"/>
  <c r="BL9" i="10"/>
  <c r="BU10" i="10"/>
  <c r="J62" i="10"/>
  <c r="J47" i="7" s="1"/>
  <c r="CF9" i="10"/>
  <c r="CJ10" i="10"/>
  <c r="S7" i="11"/>
  <c r="BP7" i="11"/>
  <c r="Z10" i="19"/>
  <c r="AJ10" i="19"/>
  <c r="N7" i="18"/>
  <c r="Y10" i="10"/>
  <c r="Y35" i="10"/>
  <c r="Z42" i="10"/>
  <c r="BO10" i="10"/>
  <c r="BR9" i="10"/>
  <c r="Y69" i="10"/>
  <c r="AA74" i="10"/>
  <c r="I16" i="10"/>
  <c r="AT10" i="10"/>
  <c r="Y42" i="10"/>
  <c r="BP9" i="10"/>
  <c r="U60" i="10"/>
  <c r="CA10" i="10"/>
  <c r="X69" i="10"/>
  <c r="CG10" i="10"/>
  <c r="Z74" i="10"/>
  <c r="CI10" i="10"/>
  <c r="I22" i="10"/>
  <c r="AH7" i="10" s="1"/>
  <c r="E39" i="10"/>
  <c r="E35" i="7" s="1"/>
  <c r="AM7" i="11"/>
  <c r="E23" i="10"/>
  <c r="AI7" i="10" s="1"/>
  <c r="AE7" i="11"/>
  <c r="E11" i="10"/>
  <c r="E10" i="7" s="1"/>
  <c r="E75" i="10"/>
  <c r="AF10" i="10"/>
  <c r="I30" i="10"/>
  <c r="I29" i="7" s="1"/>
  <c r="I63" i="10"/>
  <c r="I48" i="7" s="1"/>
  <c r="U7" i="12"/>
  <c r="AD8" i="10"/>
  <c r="AN9" i="10"/>
  <c r="AQ9" i="10"/>
  <c r="AR8" i="10"/>
  <c r="AS8" i="10"/>
  <c r="Z35" i="10"/>
  <c r="Z48" i="10"/>
  <c r="BI9" i="10"/>
  <c r="BJ10" i="10"/>
  <c r="BL8" i="10"/>
  <c r="BW10" i="10"/>
  <c r="U64" i="10"/>
  <c r="CB9" i="10"/>
  <c r="V42" i="12"/>
  <c r="I20" i="10"/>
  <c r="I19" i="7" s="1"/>
  <c r="I14" i="10"/>
  <c r="I13" i="7" s="1"/>
  <c r="I8" i="10"/>
  <c r="I8" i="7" s="1"/>
  <c r="I49" i="10"/>
  <c r="I42" i="7" s="1"/>
  <c r="I55" i="10"/>
  <c r="BO7" i="10" s="1"/>
  <c r="AT9" i="10"/>
  <c r="CI9" i="10"/>
  <c r="CK9" i="10"/>
  <c r="V42" i="11"/>
  <c r="X11" i="19"/>
  <c r="V11" i="19" s="1"/>
  <c r="D5" i="21"/>
  <c r="AY11" i="15"/>
  <c r="E21" i="7"/>
  <c r="G16" i="7"/>
  <c r="AC9" i="10"/>
  <c r="F26" i="7"/>
  <c r="U74" i="10"/>
  <c r="CH10" i="10"/>
  <c r="BG7" i="11"/>
  <c r="E47" i="10"/>
  <c r="BG7" i="10" s="1"/>
  <c r="W12" i="22"/>
  <c r="U12" i="22"/>
  <c r="E17" i="7"/>
  <c r="CC9" i="11"/>
  <c r="G8" i="7"/>
  <c r="T9" i="10"/>
  <c r="AB10" i="10"/>
  <c r="T35" i="10"/>
  <c r="AU9" i="10"/>
  <c r="AZ9" i="10"/>
  <c r="BG8" i="10"/>
  <c r="F39" i="7"/>
  <c r="U48" i="10"/>
  <c r="BH10" i="10"/>
  <c r="E44" i="7"/>
  <c r="BP7" i="10"/>
  <c r="J66" i="10"/>
  <c r="J51" i="7" s="1"/>
  <c r="CB8" i="10"/>
  <c r="AC8" i="11"/>
  <c r="J17" i="10"/>
  <c r="J16" i="7" s="1"/>
  <c r="AF8" i="11"/>
  <c r="J20" i="10"/>
  <c r="AF8" i="10" s="1"/>
  <c r="AN7" i="11"/>
  <c r="I28" i="10"/>
  <c r="I27" i="7" s="1"/>
  <c r="BU8" i="11"/>
  <c r="J61" i="10"/>
  <c r="BU8" i="10" s="1"/>
  <c r="S7" i="12"/>
  <c r="E7" i="10"/>
  <c r="E66" i="10"/>
  <c r="BZ7" i="12"/>
  <c r="BV7" i="12"/>
  <c r="BR7" i="12"/>
  <c r="E54" i="10"/>
  <c r="BN7" i="12"/>
  <c r="BJ7" i="12"/>
  <c r="BB7" i="12"/>
  <c r="AT7" i="12"/>
  <c r="AP7" i="12"/>
  <c r="AL7" i="12"/>
  <c r="E26" i="10"/>
  <c r="AH7" i="12"/>
  <c r="AD7" i="12"/>
  <c r="Z7" i="12"/>
  <c r="CI7" i="12"/>
  <c r="CE7" i="12"/>
  <c r="H36" i="7"/>
  <c r="BC10" i="10"/>
  <c r="G43" i="7"/>
  <c r="BJ9" i="10"/>
  <c r="G45" i="7"/>
  <c r="BQ9" i="10"/>
  <c r="G78" i="12"/>
  <c r="CL9" i="12" s="1"/>
  <c r="Q9" i="12" s="1"/>
  <c r="CC9" i="12"/>
  <c r="F10" i="7"/>
  <c r="W8" i="10"/>
  <c r="E11" i="7"/>
  <c r="X7" i="10"/>
  <c r="G13" i="7"/>
  <c r="Z9" i="10"/>
  <c r="AL9" i="10"/>
  <c r="G25" i="7"/>
  <c r="AY10" i="10"/>
  <c r="H35" i="7"/>
  <c r="CJ9" i="10"/>
  <c r="G69" i="10"/>
  <c r="G52" i="7" s="1"/>
  <c r="T8" i="11"/>
  <c r="J8" i="10"/>
  <c r="J8" i="7" s="1"/>
  <c r="V11" i="11"/>
  <c r="AL8" i="11"/>
  <c r="J26" i="10"/>
  <c r="J25" i="7" s="1"/>
  <c r="BP8" i="11"/>
  <c r="J56" i="10"/>
  <c r="J44" i="7" s="1"/>
  <c r="CI7" i="11"/>
  <c r="I75" i="10"/>
  <c r="I40" i="7" s="1"/>
  <c r="AI9" i="10"/>
  <c r="G22" i="7"/>
  <c r="BD10" i="10"/>
  <c r="V35" i="11"/>
  <c r="I35" i="10"/>
  <c r="AY7" i="11"/>
  <c r="I39" i="10"/>
  <c r="E27" i="10"/>
  <c r="AM7" i="10" s="1"/>
  <c r="F14" i="7"/>
  <c r="T11" i="10"/>
  <c r="E19" i="10"/>
  <c r="AP10" i="10"/>
  <c r="H29" i="7"/>
  <c r="H37" i="7"/>
  <c r="BE10" i="10"/>
  <c r="F47" i="7"/>
  <c r="AI8" i="11"/>
  <c r="J23" i="10"/>
  <c r="J22" i="7" s="1"/>
  <c r="I44" i="10"/>
  <c r="BD7" i="10" s="1"/>
  <c r="H78" i="12"/>
  <c r="CL10" i="12" s="1"/>
  <c r="CC10" i="12"/>
  <c r="S10" i="10"/>
  <c r="H8" i="7"/>
  <c r="T10" i="10"/>
  <c r="S12" i="10"/>
  <c r="U8" i="10"/>
  <c r="U11" i="10"/>
  <c r="G10" i="7"/>
  <c r="W9" i="10"/>
  <c r="F11" i="7"/>
  <c r="H13" i="7"/>
  <c r="Z10" i="10"/>
  <c r="E15" i="7"/>
  <c r="AB7" i="10"/>
  <c r="G17" i="7"/>
  <c r="AD9" i="10"/>
  <c r="F21" i="7"/>
  <c r="AH8" i="10"/>
  <c r="H25" i="7"/>
  <c r="AL10" i="10"/>
  <c r="AM9" i="10"/>
  <c r="AU10" i="10"/>
  <c r="U35" i="10"/>
  <c r="AV9" i="10"/>
  <c r="S37" i="10"/>
  <c r="BA9" i="10"/>
  <c r="S42" i="10"/>
  <c r="BB8" i="10"/>
  <c r="AA42" i="10"/>
  <c r="BK10" i="10"/>
  <c r="BM9" i="10"/>
  <c r="BN9" i="10"/>
  <c r="BO9" i="10"/>
  <c r="H45" i="7"/>
  <c r="BQ10" i="10"/>
  <c r="BS9" i="10"/>
  <c r="S60" i="10"/>
  <c r="BU9" i="10"/>
  <c r="BV9" i="10"/>
  <c r="BW9" i="10"/>
  <c r="S64" i="10"/>
  <c r="S69" i="10"/>
  <c r="CH8" i="12"/>
  <c r="W74" i="12"/>
  <c r="J70" i="10"/>
  <c r="W69" i="12"/>
  <c r="CD8" i="12"/>
  <c r="W35" i="12"/>
  <c r="AU8" i="12"/>
  <c r="W35" i="11"/>
  <c r="BB8" i="11"/>
  <c r="W42" i="11"/>
  <c r="BH7" i="11"/>
  <c r="W60" i="11"/>
  <c r="V69" i="11"/>
  <c r="V74" i="11"/>
  <c r="X7" i="12"/>
  <c r="T7" i="12"/>
  <c r="BY7" i="12"/>
  <c r="BU7" i="12"/>
  <c r="BQ7" i="12"/>
  <c r="BM7" i="12"/>
  <c r="BI7" i="12"/>
  <c r="BE7" i="12"/>
  <c r="BA7" i="12"/>
  <c r="AW7" i="12"/>
  <c r="AS7" i="12"/>
  <c r="AO7" i="12"/>
  <c r="AK7" i="12"/>
  <c r="AG7" i="12"/>
  <c r="AC7" i="12"/>
  <c r="Y7" i="12"/>
  <c r="CH7" i="12"/>
  <c r="CD7" i="12"/>
  <c r="AP7" i="11"/>
  <c r="AH7" i="11"/>
  <c r="U9" i="10"/>
  <c r="T12" i="10"/>
  <c r="G11" i="7"/>
  <c r="X9" i="10"/>
  <c r="F12" i="7"/>
  <c r="H14" i="7"/>
  <c r="AA10" i="10"/>
  <c r="H17" i="7"/>
  <c r="AD10" i="10"/>
  <c r="G18" i="7"/>
  <c r="AE9" i="10"/>
  <c r="F19" i="7"/>
  <c r="AG10" i="10"/>
  <c r="G21" i="7"/>
  <c r="AH9" i="10"/>
  <c r="G23" i="7"/>
  <c r="AJ9" i="10"/>
  <c r="AK8" i="10"/>
  <c r="H26" i="7"/>
  <c r="AM10" i="10"/>
  <c r="H27" i="7"/>
  <c r="AN10" i="10"/>
  <c r="AO8" i="10"/>
  <c r="E31" i="7"/>
  <c r="AA35" i="10"/>
  <c r="AZ7" i="10"/>
  <c r="T42" i="10"/>
  <c r="BB9" i="10"/>
  <c r="X42" i="10"/>
  <c r="BG10" i="10"/>
  <c r="S48" i="10"/>
  <c r="E45" i="7"/>
  <c r="T60" i="10"/>
  <c r="G49" i="7"/>
  <c r="T64" i="10"/>
  <c r="BY9" i="10"/>
  <c r="BZ10" i="10"/>
  <c r="CA9" i="10"/>
  <c r="CB10" i="10"/>
  <c r="T69" i="10"/>
  <c r="CD9" i="10"/>
  <c r="Z69" i="10"/>
  <c r="CE9" i="10"/>
  <c r="S74" i="10"/>
  <c r="X74" i="10"/>
  <c r="CK10" i="10"/>
  <c r="V74" i="12"/>
  <c r="V69" i="12"/>
  <c r="V35" i="12"/>
  <c r="Q35" i="12" s="1"/>
  <c r="W7" i="12"/>
  <c r="E68" i="10"/>
  <c r="CB7" i="12"/>
  <c r="BP7" i="12"/>
  <c r="BL7" i="12"/>
  <c r="BD7" i="12"/>
  <c r="AZ7" i="12"/>
  <c r="AV7" i="12"/>
  <c r="AR7" i="12"/>
  <c r="AN7" i="12"/>
  <c r="AJ7" i="12"/>
  <c r="AF7" i="12"/>
  <c r="AB7" i="12"/>
  <c r="CK7" i="12"/>
  <c r="CG7" i="12"/>
  <c r="N16" i="19"/>
  <c r="I13" i="20" s="1"/>
  <c r="I10" i="20" s="1"/>
  <c r="I17" i="20" s="1"/>
  <c r="T8" i="10"/>
  <c r="U12" i="10"/>
  <c r="U10" i="10"/>
  <c r="F9" i="7"/>
  <c r="S11" i="10"/>
  <c r="G15" i="7"/>
  <c r="AB9" i="10"/>
  <c r="AC8" i="10"/>
  <c r="H18" i="7"/>
  <c r="AE10" i="10"/>
  <c r="G19" i="7"/>
  <c r="AF9" i="10"/>
  <c r="H21" i="7"/>
  <c r="AH10" i="10"/>
  <c r="F22" i="7"/>
  <c r="AJ10" i="10"/>
  <c r="G24" i="7"/>
  <c r="AK9" i="10"/>
  <c r="AL8" i="10"/>
  <c r="F33" i="7"/>
  <c r="S35" i="10"/>
  <c r="X35" i="10"/>
  <c r="U42" i="10"/>
  <c r="BB10" i="10"/>
  <c r="BC9" i="10"/>
  <c r="BD9" i="10"/>
  <c r="BF9" i="10"/>
  <c r="T48" i="10"/>
  <c r="BP10" i="10"/>
  <c r="F45" i="7"/>
  <c r="BQ8" i="10"/>
  <c r="H50" i="7"/>
  <c r="BY10" i="10"/>
  <c r="U69" i="10"/>
  <c r="CD10" i="10"/>
  <c r="AA69" i="10"/>
  <c r="CG9" i="10"/>
  <c r="T74" i="10"/>
  <c r="CH9" i="10"/>
  <c r="Y74" i="10"/>
  <c r="J73" i="10"/>
  <c r="CG8" i="10" s="1"/>
  <c r="CG8" i="12"/>
  <c r="BB8" i="12"/>
  <c r="W42" i="12"/>
  <c r="Q42" i="12" s="1"/>
  <c r="AI7" i="11"/>
  <c r="I25" i="10"/>
  <c r="I24" i="7" s="1"/>
  <c r="W48" i="11"/>
  <c r="I50" i="11"/>
  <c r="I50" i="10" s="1"/>
  <c r="I43" i="7" s="1"/>
  <c r="W69" i="11"/>
  <c r="W74" i="11"/>
  <c r="CA7" i="12"/>
  <c r="BW7" i="12"/>
  <c r="BS7" i="12"/>
  <c r="BO7" i="12"/>
  <c r="BK7" i="12"/>
  <c r="BG7" i="12"/>
  <c r="BC7" i="12"/>
  <c r="AU7" i="12"/>
  <c r="AQ7" i="12"/>
  <c r="AM7" i="12"/>
  <c r="AI7" i="12"/>
  <c r="AE7" i="12"/>
  <c r="AA7" i="12"/>
  <c r="CJ7" i="12"/>
  <c r="CF7" i="12"/>
  <c r="CA7" i="11"/>
  <c r="BD7" i="11"/>
  <c r="AZ7" i="11"/>
  <c r="X7" i="11"/>
  <c r="T7" i="11"/>
  <c r="F5" i="21"/>
  <c r="AJ15" i="19"/>
  <c r="D27" i="19"/>
  <c r="B7" i="21" s="1"/>
  <c r="B5" i="21" s="1"/>
  <c r="AK12" i="19"/>
  <c r="E27" i="19"/>
  <c r="C7" i="21" s="1"/>
  <c r="C5" i="21" s="1"/>
  <c r="H16" i="19"/>
  <c r="W37" i="11"/>
  <c r="T37" i="10"/>
  <c r="AW9" i="10"/>
  <c r="U37" i="10"/>
  <c r="AW10" i="10"/>
  <c r="J39" i="10"/>
  <c r="AY8" i="10" s="1"/>
  <c r="X78" i="12"/>
  <c r="K35" i="7"/>
  <c r="AY9" i="10"/>
  <c r="BH8" i="10"/>
  <c r="BX7" i="12"/>
  <c r="V64" i="12"/>
  <c r="V60" i="12"/>
  <c r="BT7" i="12"/>
  <c r="BH7" i="12"/>
  <c r="V48" i="12"/>
  <c r="AX7" i="12"/>
  <c r="V37" i="12"/>
  <c r="V7" i="12"/>
  <c r="V12" i="12"/>
  <c r="V11" i="12"/>
  <c r="BH9" i="10"/>
  <c r="X48" i="10"/>
  <c r="Y48" i="10"/>
  <c r="BX8" i="12"/>
  <c r="W64" i="12"/>
  <c r="W60" i="12"/>
  <c r="BT8" i="12"/>
  <c r="W48" i="12"/>
  <c r="BH8" i="12"/>
  <c r="W37" i="12"/>
  <c r="AX8" i="12"/>
  <c r="W12" i="12"/>
  <c r="V8" i="12"/>
  <c r="W11" i="12"/>
  <c r="K9" i="7"/>
  <c r="X11" i="10"/>
  <c r="V9" i="10"/>
  <c r="X12" i="10"/>
  <c r="M34" i="7"/>
  <c r="Z37" i="10"/>
  <c r="AX10" i="10"/>
  <c r="L46" i="7"/>
  <c r="Y60" i="10"/>
  <c r="N49" i="7"/>
  <c r="AA64" i="10"/>
  <c r="L9" i="7"/>
  <c r="Y12" i="10"/>
  <c r="Y11" i="10"/>
  <c r="N34" i="7"/>
  <c r="AA37" i="10"/>
  <c r="M46" i="7"/>
  <c r="Z60" i="10"/>
  <c r="BT10" i="10"/>
  <c r="K49" i="7"/>
  <c r="X64" i="10"/>
  <c r="BX9" i="10"/>
  <c r="V7" i="10"/>
  <c r="M9" i="7"/>
  <c r="Z12" i="10"/>
  <c r="Z11" i="10"/>
  <c r="V10" i="10"/>
  <c r="AX9" i="10"/>
  <c r="X37" i="10"/>
  <c r="N46" i="7"/>
  <c r="AA60" i="10"/>
  <c r="L49" i="7"/>
  <c r="Y64" i="10"/>
  <c r="V8" i="10"/>
  <c r="W12" i="10"/>
  <c r="N9" i="7"/>
  <c r="AA11" i="10"/>
  <c r="AA12" i="10"/>
  <c r="L34" i="7"/>
  <c r="Y37" i="10"/>
  <c r="M38" i="7"/>
  <c r="BF10" i="10"/>
  <c r="K46" i="7"/>
  <c r="X60" i="10"/>
  <c r="BT9" i="10"/>
  <c r="M49" i="7"/>
  <c r="BX10" i="10"/>
  <c r="Z64" i="10"/>
  <c r="I70" i="10"/>
  <c r="E70" i="10"/>
  <c r="E31" i="10"/>
  <c r="E15" i="10"/>
  <c r="AA7" i="10" s="1"/>
  <c r="E28" i="10"/>
  <c r="E76" i="10"/>
  <c r="E77" i="10"/>
  <c r="I72" i="10"/>
  <c r="CF7" i="10" s="1"/>
  <c r="J74" i="10"/>
  <c r="I73" i="10"/>
  <c r="J75" i="10"/>
  <c r="J40" i="7" s="1"/>
  <c r="J69" i="12"/>
  <c r="CC8" i="12" s="1"/>
  <c r="I69" i="12"/>
  <c r="I51" i="10"/>
  <c r="I58" i="10"/>
  <c r="I65" i="10"/>
  <c r="I50" i="7" s="1"/>
  <c r="J51" i="10"/>
  <c r="BK8" i="10" s="1"/>
  <c r="I62" i="10"/>
  <c r="I47" i="7" s="1"/>
  <c r="I67" i="10"/>
  <c r="I54" i="10"/>
  <c r="I61" i="10"/>
  <c r="I33" i="10"/>
  <c r="I32" i="7" s="1"/>
  <c r="J37" i="10"/>
  <c r="AW8" i="10" s="1"/>
  <c r="I38" i="10"/>
  <c r="I34" i="7" s="1"/>
  <c r="I43" i="10"/>
  <c r="I36" i="7" s="1"/>
  <c r="AD9" i="19"/>
  <c r="AD8" i="19"/>
  <c r="AJ13" i="19"/>
  <c r="D16" i="19"/>
  <c r="AA12" i="2"/>
  <c r="S12" i="2" s="1"/>
  <c r="R12" i="2" s="1"/>
  <c r="P12" i="2" s="1"/>
  <c r="AY12" i="15"/>
  <c r="G21" i="2" s="1"/>
  <c r="L24" i="16" s="1"/>
  <c r="D11" i="18"/>
  <c r="F11" i="18" s="1"/>
  <c r="AW7" i="11"/>
  <c r="V37" i="11"/>
  <c r="U8" i="11"/>
  <c r="W12" i="11"/>
  <c r="Q12" i="11" s="1"/>
  <c r="P12" i="11" s="1"/>
  <c r="O12" i="11" s="1"/>
  <c r="W8" i="11"/>
  <c r="W11" i="11"/>
  <c r="U7" i="11"/>
  <c r="X18" i="16"/>
  <c r="J46" i="10"/>
  <c r="BT7" i="11"/>
  <c r="V60" i="11"/>
  <c r="I60" i="10"/>
  <c r="BX7" i="11"/>
  <c r="V64" i="11"/>
  <c r="BX8" i="11"/>
  <c r="W64" i="11"/>
  <c r="G35" i="7"/>
  <c r="H47" i="7"/>
  <c r="E20" i="7"/>
  <c r="F13" i="7"/>
  <c r="F16" i="7"/>
  <c r="H48" i="7"/>
  <c r="E33" i="7"/>
  <c r="G39" i="7"/>
  <c r="G9" i="7"/>
  <c r="K69" i="10"/>
  <c r="K52" i="7" s="1"/>
  <c r="J7" i="10"/>
  <c r="S8" i="10" s="1"/>
  <c r="AA11" i="2"/>
  <c r="S11" i="2" s="1"/>
  <c r="D17" i="2"/>
  <c r="AA10" i="2"/>
  <c r="S10" i="2" s="1"/>
  <c r="E17" i="2"/>
  <c r="E18" i="2" s="1"/>
  <c r="CL9" i="11"/>
  <c r="J50" i="10"/>
  <c r="J43" i="7" s="1"/>
  <c r="AX7" i="11"/>
  <c r="F25" i="7"/>
  <c r="I7" i="10"/>
  <c r="F69" i="10"/>
  <c r="AT8" i="11"/>
  <c r="J34" i="10"/>
  <c r="AT8" i="10" s="1"/>
  <c r="BA8" i="11"/>
  <c r="J41" i="10"/>
  <c r="BA8" i="10" s="1"/>
  <c r="CA8" i="11"/>
  <c r="J67" i="10"/>
  <c r="CA8" i="10" s="1"/>
  <c r="BY7" i="11"/>
  <c r="E65" i="10"/>
  <c r="AU7" i="11"/>
  <c r="E35" i="10"/>
  <c r="CG7" i="11"/>
  <c r="E73" i="10"/>
  <c r="E13" i="7"/>
  <c r="H10" i="7"/>
  <c r="F27" i="7"/>
  <c r="F28" i="7"/>
  <c r="J19" i="7"/>
  <c r="M39" i="7"/>
  <c r="F38" i="7"/>
  <c r="H46" i="7"/>
  <c r="G78" i="10"/>
  <c r="J63" i="10"/>
  <c r="BW8" i="10" s="1"/>
  <c r="F51" i="7"/>
  <c r="I11" i="10"/>
  <c r="I10" i="7" s="1"/>
  <c r="W7" i="11"/>
  <c r="BO8" i="11"/>
  <c r="J55" i="10"/>
  <c r="BO8" i="10" s="1"/>
  <c r="CF7" i="11"/>
  <c r="M37" i="7"/>
  <c r="K38" i="7"/>
  <c r="E39" i="7"/>
  <c r="G42" i="7"/>
  <c r="F43" i="7"/>
  <c r="E40" i="7"/>
  <c r="AD7" i="11"/>
  <c r="I18" i="10"/>
  <c r="AD7" i="10" s="1"/>
  <c r="AP8" i="11"/>
  <c r="J30" i="10"/>
  <c r="J29" i="7" s="1"/>
  <c r="CE7" i="11"/>
  <c r="I71" i="10"/>
  <c r="CE7" i="10" s="1"/>
  <c r="BE7" i="11"/>
  <c r="E45" i="10"/>
  <c r="I21" i="7"/>
  <c r="G30" i="7"/>
  <c r="M69" i="10"/>
  <c r="M52" i="7" s="1"/>
  <c r="AB8" i="11"/>
  <c r="J16" i="10"/>
  <c r="J15" i="7" s="1"/>
  <c r="AO7" i="11"/>
  <c r="I29" i="10"/>
  <c r="AV7" i="11"/>
  <c r="I36" i="10"/>
  <c r="AV7" i="10" s="1"/>
  <c r="BR7" i="11"/>
  <c r="E58" i="10"/>
  <c r="BK7" i="11"/>
  <c r="E51" i="10"/>
  <c r="L69" i="10"/>
  <c r="L52" i="7" s="1"/>
  <c r="I53" i="10"/>
  <c r="BM7" i="10" s="1"/>
  <c r="AT7" i="11"/>
  <c r="CJ7" i="11"/>
  <c r="BI7" i="11"/>
  <c r="CB7" i="11"/>
  <c r="AA7" i="11"/>
  <c r="BO7" i="11"/>
  <c r="BB7" i="11"/>
  <c r="CH7" i="11"/>
  <c r="AR7" i="11"/>
  <c r="I32" i="10"/>
  <c r="I31" i="7" s="1"/>
  <c r="BD8" i="11"/>
  <c r="J44" i="10"/>
  <c r="BD8" i="10" s="1"/>
  <c r="BF7" i="11"/>
  <c r="I46" i="10"/>
  <c r="BU7" i="11"/>
  <c r="E61" i="10"/>
  <c r="AK7" i="11"/>
  <c r="E29" i="7"/>
  <c r="F29" i="7"/>
  <c r="G28" i="7"/>
  <c r="F24" i="7"/>
  <c r="H23" i="7"/>
  <c r="H20" i="7"/>
  <c r="I15" i="7"/>
  <c r="J14" i="7"/>
  <c r="H38" i="7"/>
  <c r="S8" i="11"/>
  <c r="I31" i="10"/>
  <c r="AQ7" i="11"/>
  <c r="BC8" i="11"/>
  <c r="J43" i="10"/>
  <c r="BC8" i="10" s="1"/>
  <c r="BQ7" i="11"/>
  <c r="I57" i="10"/>
  <c r="I45" i="7" s="1"/>
  <c r="E50" i="10"/>
  <c r="BA7" i="11"/>
  <c r="E41" i="10"/>
  <c r="BA7" i="10" s="1"/>
  <c r="E12" i="7"/>
  <c r="H16" i="7"/>
  <c r="AW8" i="11"/>
  <c r="F32" i="7"/>
  <c r="E22" i="7"/>
  <c r="G20" i="7"/>
  <c r="H15" i="7"/>
  <c r="G12" i="7"/>
  <c r="H11" i="7"/>
  <c r="H69" i="10"/>
  <c r="H78" i="11"/>
  <c r="CL10" i="11" s="1"/>
  <c r="J12" i="10"/>
  <c r="X8" i="10" s="1"/>
  <c r="J19" i="10"/>
  <c r="J18" i="7" s="1"/>
  <c r="J27" i="10"/>
  <c r="J26" i="7" s="1"/>
  <c r="J77" i="10"/>
  <c r="AU8" i="11"/>
  <c r="J35" i="10"/>
  <c r="J38" i="10"/>
  <c r="AX8" i="11"/>
  <c r="BY8" i="11"/>
  <c r="J65" i="10"/>
  <c r="J50" i="7" s="1"/>
  <c r="BW7" i="11"/>
  <c r="E63" i="10"/>
  <c r="BC7" i="11"/>
  <c r="E43" i="10"/>
  <c r="AS7" i="11"/>
  <c r="E33" i="10"/>
  <c r="AS7" i="10" s="1"/>
  <c r="AC7" i="11"/>
  <c r="E14" i="7"/>
  <c r="F17" i="7"/>
  <c r="F31" i="7"/>
  <c r="F23" i="7"/>
  <c r="G14" i="7"/>
  <c r="J69" i="11"/>
  <c r="CC8" i="11" s="1"/>
  <c r="E25" i="10"/>
  <c r="AK7" i="10" s="1"/>
  <c r="J59" i="10"/>
  <c r="BS8" i="10" s="1"/>
  <c r="BI8" i="11"/>
  <c r="J49" i="10"/>
  <c r="BI8" i="10" s="1"/>
  <c r="BT8" i="11"/>
  <c r="J60" i="10"/>
  <c r="BV7" i="11"/>
  <c r="BL7" i="11"/>
  <c r="E52" i="10"/>
  <c r="BL7" i="10" s="1"/>
  <c r="E69" i="11"/>
  <c r="CD7" i="11"/>
  <c r="J9" i="7"/>
  <c r="I9" i="7"/>
  <c r="W11" i="19"/>
  <c r="AK13" i="19"/>
  <c r="C13" i="20"/>
  <c r="C10" i="20" s="1"/>
  <c r="C17" i="20" s="1"/>
  <c r="X10" i="22"/>
  <c r="W10" i="22" s="1"/>
  <c r="X17" i="16"/>
  <c r="E15" i="20"/>
  <c r="G18" i="2"/>
  <c r="D8" i="16"/>
  <c r="AB28" i="16" s="1"/>
  <c r="X11" i="16"/>
  <c r="AK14" i="19"/>
  <c r="AK10" i="19"/>
  <c r="AK8" i="19"/>
  <c r="AK15" i="19"/>
  <c r="AK9" i="19"/>
  <c r="D12" i="18"/>
  <c r="F12" i="18" s="1"/>
  <c r="K7" i="18"/>
  <c r="F7" i="18"/>
  <c r="D8" i="17"/>
  <c r="Z22" i="17" s="1"/>
  <c r="X22" i="17" s="1"/>
  <c r="E12" i="20"/>
  <c r="AN21" i="15"/>
  <c r="AI13" i="19"/>
  <c r="C14" i="20"/>
  <c r="C11" i="20" s="1"/>
  <c r="F9" i="18"/>
  <c r="M7" i="18"/>
  <c r="E16" i="20"/>
  <c r="AN23" i="15"/>
  <c r="AN22" i="15"/>
  <c r="AN14" i="15"/>
  <c r="D17" i="16"/>
  <c r="AN24" i="15"/>
  <c r="AN13" i="15"/>
  <c r="V17" i="19"/>
  <c r="W17" i="19"/>
  <c r="B9" i="22"/>
  <c r="AI15" i="19"/>
  <c r="AI9" i="19"/>
  <c r="E14" i="20"/>
  <c r="AI12" i="19"/>
  <c r="AI14" i="19"/>
  <c r="AI10" i="19"/>
  <c r="AI8" i="19"/>
  <c r="CG7" i="10" l="1"/>
  <c r="Q60" i="11"/>
  <c r="P60" i="11" s="1"/>
  <c r="CA7" i="10"/>
  <c r="BV8" i="10"/>
  <c r="V74" i="10"/>
  <c r="BE7" i="10"/>
  <c r="AI8" i="10"/>
  <c r="CB7" i="10"/>
  <c r="Y8" i="10"/>
  <c r="T7" i="10"/>
  <c r="CJ7" i="10"/>
  <c r="Q74" i="12"/>
  <c r="O74" i="12" s="1"/>
  <c r="BX8" i="10"/>
  <c r="N78" i="10"/>
  <c r="F13" i="9" s="1"/>
  <c r="AO7" i="10"/>
  <c r="AQ8" i="10"/>
  <c r="AN8" i="10"/>
  <c r="CC7" i="12"/>
  <c r="CH7" i="10"/>
  <c r="E26" i="7"/>
  <c r="BJ7" i="11"/>
  <c r="BJ7" i="10"/>
  <c r="Q9" i="11"/>
  <c r="P9" i="11" s="1"/>
  <c r="O9" i="11" s="1"/>
  <c r="Q10" i="11"/>
  <c r="P10" i="11" s="1"/>
  <c r="O10" i="11" s="1"/>
  <c r="BW7" i="10"/>
  <c r="BR7" i="10"/>
  <c r="BH7" i="10"/>
  <c r="Q42" i="11"/>
  <c r="P42" i="11" s="1"/>
  <c r="BX7" i="10"/>
  <c r="Q11" i="11"/>
  <c r="P11" i="11" s="1"/>
  <c r="O11" i="11" s="1"/>
  <c r="BK7" i="10"/>
  <c r="Q69" i="12"/>
  <c r="O69" i="12" s="1"/>
  <c r="AF7" i="10"/>
  <c r="W44" i="10"/>
  <c r="E25" i="19"/>
  <c r="B8" i="22"/>
  <c r="BF7" i="10"/>
  <c r="V44" i="10"/>
  <c r="D23" i="2"/>
  <c r="BP8" i="10"/>
  <c r="Q37" i="11"/>
  <c r="P37" i="11" s="1"/>
  <c r="O37" i="11" s="1"/>
  <c r="CI7" i="10"/>
  <c r="BZ8" i="10"/>
  <c r="V48" i="10"/>
  <c r="BI7" i="10"/>
  <c r="W35" i="10"/>
  <c r="AP7" i="10"/>
  <c r="Q10" i="12"/>
  <c r="P10" i="12" s="1"/>
  <c r="AU8" i="10"/>
  <c r="AR7" i="10"/>
  <c r="Q69" i="11"/>
  <c r="W69" i="10"/>
  <c r="W42" i="10"/>
  <c r="CC9" i="10"/>
  <c r="Z7" i="10"/>
  <c r="CC10" i="10"/>
  <c r="I17" i="7"/>
  <c r="W74" i="10"/>
  <c r="V69" i="10"/>
  <c r="V48" i="11"/>
  <c r="Q48" i="11" s="1"/>
  <c r="E27" i="7"/>
  <c r="AN7" i="10"/>
  <c r="E69" i="10"/>
  <c r="E78" i="10" s="1"/>
  <c r="CK7" i="10"/>
  <c r="V11" i="10"/>
  <c r="BJ8" i="10"/>
  <c r="CD8" i="10"/>
  <c r="AY7" i="10"/>
  <c r="I35" i="7"/>
  <c r="V42" i="10"/>
  <c r="Q42" i="10" s="1"/>
  <c r="I69" i="10"/>
  <c r="I52" i="7" s="1"/>
  <c r="E30" i="7"/>
  <c r="AQ7" i="10"/>
  <c r="W11" i="10"/>
  <c r="W48" i="10"/>
  <c r="BC7" i="10"/>
  <c r="J35" i="7"/>
  <c r="AU7" i="10"/>
  <c r="CD7" i="10"/>
  <c r="W64" i="10"/>
  <c r="CI8" i="10"/>
  <c r="O35" i="12"/>
  <c r="P35" i="12"/>
  <c r="BQ7" i="10"/>
  <c r="AP8" i="10"/>
  <c r="Q74" i="11"/>
  <c r="Q44" i="11"/>
  <c r="AE7" i="10"/>
  <c r="E18" i="7"/>
  <c r="BV7" i="10"/>
  <c r="BN7" i="10"/>
  <c r="E51" i="7"/>
  <c r="BZ7" i="10"/>
  <c r="O42" i="12"/>
  <c r="P42" i="12"/>
  <c r="E25" i="7"/>
  <c r="AL7" i="10"/>
  <c r="S7" i="10"/>
  <c r="CH8" i="10"/>
  <c r="V35" i="10"/>
  <c r="X28" i="16"/>
  <c r="Z28" i="16"/>
  <c r="Y28" i="16" s="1"/>
  <c r="J69" i="10"/>
  <c r="CC8" i="10" s="1"/>
  <c r="BU7" i="10"/>
  <c r="E50" i="7"/>
  <c r="BY7" i="10"/>
  <c r="F52" i="7"/>
  <c r="V64" i="10"/>
  <c r="Q74" i="10"/>
  <c r="AB8" i="10"/>
  <c r="BY8" i="10"/>
  <c r="AE8" i="10"/>
  <c r="Q35" i="11"/>
  <c r="CK8" i="10"/>
  <c r="W7" i="10"/>
  <c r="AM8" i="10"/>
  <c r="AH13" i="19"/>
  <c r="X13" i="19" s="1"/>
  <c r="W13" i="19" s="1"/>
  <c r="D25" i="19"/>
  <c r="G10" i="9"/>
  <c r="Q37" i="12"/>
  <c r="Q44" i="12"/>
  <c r="Q11" i="12"/>
  <c r="Q12" i="12"/>
  <c r="Q48" i="12"/>
  <c r="Q60" i="12"/>
  <c r="Q64" i="12"/>
  <c r="P9" i="12"/>
  <c r="O9" i="12" s="1"/>
  <c r="AX8" i="10"/>
  <c r="W37" i="10"/>
  <c r="V37" i="10"/>
  <c r="AX7" i="10"/>
  <c r="J46" i="7"/>
  <c r="BT8" i="10"/>
  <c r="W60" i="10"/>
  <c r="J38" i="7"/>
  <c r="BF8" i="10"/>
  <c r="I46" i="7"/>
  <c r="V60" i="10"/>
  <c r="BT7" i="10"/>
  <c r="Q12" i="10"/>
  <c r="K78" i="10"/>
  <c r="F78" i="10"/>
  <c r="J78" i="12"/>
  <c r="I78" i="12"/>
  <c r="E13" i="20"/>
  <c r="E10" i="20" s="1"/>
  <c r="E17" i="20" s="1"/>
  <c r="AH8" i="19"/>
  <c r="X8" i="19" s="1"/>
  <c r="W8" i="19" s="1"/>
  <c r="AH14" i="19"/>
  <c r="X14" i="19" s="1"/>
  <c r="AH12" i="19"/>
  <c r="X12" i="19" s="1"/>
  <c r="AH9" i="19"/>
  <c r="X9" i="19" s="1"/>
  <c r="W9" i="19" s="1"/>
  <c r="AH10" i="19"/>
  <c r="X10" i="19" s="1"/>
  <c r="V10" i="19" s="1"/>
  <c r="AH15" i="19"/>
  <c r="X15" i="19" s="1"/>
  <c r="W15" i="19" s="1"/>
  <c r="O7" i="18"/>
  <c r="I7" i="18" s="1"/>
  <c r="AJ20" i="16"/>
  <c r="Z20" i="16" s="1"/>
  <c r="Y20" i="16" s="1"/>
  <c r="AB21" i="16"/>
  <c r="X21" i="16" s="1"/>
  <c r="AB22" i="16"/>
  <c r="X22" i="16" s="1"/>
  <c r="AB25" i="16"/>
  <c r="X25" i="16" s="1"/>
  <c r="AJ8" i="16"/>
  <c r="Z8" i="16" s="1"/>
  <c r="Y8" i="16" s="1"/>
  <c r="AJ10" i="16"/>
  <c r="Z10" i="16" s="1"/>
  <c r="Q64" i="11"/>
  <c r="R11" i="2"/>
  <c r="P11" i="2" s="1"/>
  <c r="R10" i="2"/>
  <c r="P10" i="2" s="1"/>
  <c r="E37" i="7"/>
  <c r="L78" i="10"/>
  <c r="J48" i="7"/>
  <c r="I28" i="7"/>
  <c r="J33" i="7"/>
  <c r="M78" i="10"/>
  <c r="E36" i="7"/>
  <c r="H52" i="7"/>
  <c r="H78" i="10"/>
  <c r="E43" i="7"/>
  <c r="J36" i="7"/>
  <c r="CC7" i="11"/>
  <c r="E78" i="11"/>
  <c r="CL7" i="11" s="1"/>
  <c r="E24" i="7"/>
  <c r="J78" i="11"/>
  <c r="W78" i="11" s="1"/>
  <c r="Q78" i="11" s="1"/>
  <c r="P78" i="11" s="1"/>
  <c r="O78" i="11" s="1"/>
  <c r="E32" i="7"/>
  <c r="E48" i="7"/>
  <c r="J42" i="7"/>
  <c r="J34" i="7"/>
  <c r="J11" i="7"/>
  <c r="I30" i="7"/>
  <c r="I38" i="7"/>
  <c r="U10" i="22"/>
  <c r="E11" i="20"/>
  <c r="X9" i="17"/>
  <c r="X8" i="17"/>
  <c r="Z8" i="22"/>
  <c r="Z9" i="22"/>
  <c r="P74" i="12" l="1"/>
  <c r="Q35" i="10"/>
  <c r="O60" i="11"/>
  <c r="AA78" i="10"/>
  <c r="O10" i="12"/>
  <c r="Q44" i="10"/>
  <c r="P44" i="10" s="1"/>
  <c r="O44" i="10" s="1"/>
  <c r="P69" i="12"/>
  <c r="J52" i="7"/>
  <c r="J78" i="10"/>
  <c r="D13" i="9" s="1"/>
  <c r="O42" i="11"/>
  <c r="Q64" i="10"/>
  <c r="P64" i="10" s="1"/>
  <c r="O64" i="10" s="1"/>
  <c r="E52" i="7"/>
  <c r="P23" i="2"/>
  <c r="P24" i="2"/>
  <c r="D22" i="2"/>
  <c r="Q11" i="10"/>
  <c r="P69" i="11"/>
  <c r="O69" i="11" s="1"/>
  <c r="Q69" i="10"/>
  <c r="P69" i="10" s="1"/>
  <c r="Q48" i="10"/>
  <c r="P48" i="10" s="1"/>
  <c r="O48" i="10" s="1"/>
  <c r="P35" i="10"/>
  <c r="O35" i="10" s="1"/>
  <c r="P35" i="11"/>
  <c r="O35" i="11" s="1"/>
  <c r="P44" i="11"/>
  <c r="O44" i="11" s="1"/>
  <c r="I78" i="10"/>
  <c r="CL7" i="10" s="1"/>
  <c r="Q7" i="11"/>
  <c r="P7" i="11" s="1"/>
  <c r="O7" i="11" s="1"/>
  <c r="P74" i="10"/>
  <c r="O74" i="10" s="1"/>
  <c r="P74" i="11"/>
  <c r="O74" i="11" s="1"/>
  <c r="P48" i="11"/>
  <c r="O48" i="11" s="1"/>
  <c r="CC7" i="10"/>
  <c r="O42" i="10"/>
  <c r="P42" i="10"/>
  <c r="W14" i="19"/>
  <c r="V14" i="19" s="1"/>
  <c r="Q60" i="10"/>
  <c r="Q37" i="10"/>
  <c r="P37" i="10" s="1"/>
  <c r="O37" i="10" s="1"/>
  <c r="P60" i="12"/>
  <c r="O60" i="12" s="1"/>
  <c r="P48" i="12"/>
  <c r="O48" i="12" s="1"/>
  <c r="P44" i="12"/>
  <c r="O44" i="12" s="1"/>
  <c r="V78" i="12"/>
  <c r="CL7" i="12"/>
  <c r="Q7" i="12" s="1"/>
  <c r="CL8" i="12"/>
  <c r="Q8" i="12" s="1"/>
  <c r="W78" i="12"/>
  <c r="P64" i="12"/>
  <c r="O64" i="12" s="1"/>
  <c r="P12" i="12"/>
  <c r="O12" i="12" s="1"/>
  <c r="O11" i="12"/>
  <c r="P11" i="12"/>
  <c r="P37" i="12"/>
  <c r="O37" i="12" s="1"/>
  <c r="Z78" i="10"/>
  <c r="CL10" i="10"/>
  <c r="Q10" i="10" s="1"/>
  <c r="E13" i="9"/>
  <c r="G14" i="9" s="1"/>
  <c r="Y78" i="10"/>
  <c r="P12" i="10"/>
  <c r="O12" i="10" s="1"/>
  <c r="CL9" i="10"/>
  <c r="Q9" i="10" s="1"/>
  <c r="X78" i="10"/>
  <c r="W12" i="19"/>
  <c r="V12" i="19" s="1"/>
  <c r="Y8" i="22"/>
  <c r="X8" i="22" s="1"/>
  <c r="Y9" i="22"/>
  <c r="X9" i="22" s="1"/>
  <c r="W9" i="22" s="1"/>
  <c r="V9" i="19"/>
  <c r="V13" i="19"/>
  <c r="Y10" i="16"/>
  <c r="X10" i="16" s="1"/>
  <c r="P64" i="11"/>
  <c r="O64" i="11" s="1"/>
  <c r="CL8" i="11"/>
  <c r="Q8" i="11" s="1"/>
  <c r="W10" i="19"/>
  <c r="V8" i="19"/>
  <c r="V15" i="19"/>
  <c r="X8" i="16"/>
  <c r="H7" i="18"/>
  <c r="G7" i="18" s="1"/>
  <c r="X20" i="16"/>
  <c r="CL8" i="10" l="1"/>
  <c r="Q8" i="10" s="1"/>
  <c r="P8" i="10" s="1"/>
  <c r="O8" i="10" s="1"/>
  <c r="W78" i="10"/>
  <c r="O69" i="10"/>
  <c r="P11" i="10"/>
  <c r="O11" i="10" s="1"/>
  <c r="P21" i="2"/>
  <c r="P22" i="2"/>
  <c r="V78" i="10"/>
  <c r="Q7" i="10"/>
  <c r="P7" i="10" s="1"/>
  <c r="O7" i="10" s="1"/>
  <c r="P60" i="10"/>
  <c r="O60" i="10" s="1"/>
  <c r="P7" i="12"/>
  <c r="O7" i="12" s="1"/>
  <c r="Q78" i="12"/>
  <c r="P8" i="12"/>
  <c r="O8" i="12" s="1"/>
  <c r="P10" i="10"/>
  <c r="O10" i="10" s="1"/>
  <c r="P9" i="10"/>
  <c r="O9" i="10" s="1"/>
  <c r="W8" i="22"/>
  <c r="U8" i="22" s="1"/>
  <c r="U9" i="22"/>
  <c r="P8" i="11"/>
  <c r="O8" i="11" s="1"/>
  <c r="Y13" i="2"/>
  <c r="P26" i="2"/>
  <c r="P25" i="2"/>
  <c r="W13" i="2"/>
  <c r="Z13" i="2"/>
  <c r="X13" i="2"/>
  <c r="U13" i="2"/>
  <c r="V13" i="2"/>
  <c r="T13" i="2"/>
  <c r="N17" i="2"/>
  <c r="AA13" i="2" s="1"/>
  <c r="Q78" i="10" l="1"/>
  <c r="P78" i="10" s="1"/>
  <c r="O78" i="10" s="1"/>
  <c r="E22" i="9"/>
  <c r="F18" i="2"/>
  <c r="P78" i="12"/>
  <c r="O78" i="12" s="1"/>
  <c r="S13" i="2"/>
  <c r="R13" i="2" s="1"/>
  <c r="G11" i="9"/>
  <c r="P13" i="2" l="1"/>
</calcChain>
</file>

<file path=xl/sharedStrings.xml><?xml version="1.0" encoding="utf-8"?>
<sst xmlns="http://schemas.openxmlformats.org/spreadsheetml/2006/main" count="1951" uniqueCount="844">
  <si>
    <t>ОТРАСЛЕВАЯ СТАТИСТИЧЕСКАЯ ОТЧЕТНОСТЬ</t>
  </si>
  <si>
    <t>КОНФИДЕНЦИАЛЬНОСТЬ ГАРАНТИРУЕТСЯ ПОЛУЧАТЕЛЕМ ИНФОРМАЦИИ</t>
  </si>
  <si>
    <t>ВОЗМОЖНО ПРЕДСТАВЛЕНИЕ В ЭЛЕКТРОННОМ ВИДЕ</t>
  </si>
  <si>
    <t>"СВЕДЕНИЯ О ПРОВЕДЕНИИ ПРОФИЛАКТИЧЕСКОГО МЕДИЦИНСКОГО ОСМОТРА И ДИСПАНСЕРИЗАЦИИ ОПРЕДЕЛЕННЫХ ГРУПП ВЗРОСЛОГО НАСЕЛЕНИЯ"</t>
  </si>
  <si>
    <t>Представляют:</t>
  </si>
  <si>
    <t>Сроки представления</t>
  </si>
  <si>
    <t>ФОРМА N 131/о</t>
  </si>
  <si>
    <t>Медицинские организации, оказывающие первичную медико-санитарную помощь (далее - медицинская организация),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</si>
  <si>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</si>
  <si>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Утверждена приказом Минздрава России</t>
  </si>
  <si>
    <t>от ___________ N _____</t>
  </si>
  <si>
    <t>нарастающим итогом ежемесячная, годовая</t>
  </si>
  <si>
    <t>Органы исполнительной власти субъектов Российской Федерации в сфере охраны здоровья - Министерству здравоохранения Российской Федерации</t>
  </si>
  <si>
    <t>10 числа месяца, следующего за отчетным периодом</t>
  </si>
  <si>
    <t>Наименование медицинской организации:</t>
  </si>
  <si>
    <t>Почтовый адрес:</t>
  </si>
  <si>
    <t>Код медицинской организации по ОКПО</t>
  </si>
  <si>
    <t>Код вида деятельности по ОКВЭД</t>
  </si>
  <si>
    <t>Код территории по ОКАТО</t>
  </si>
  <si>
    <t>Код органа исполнительной власти субъекта Российской Федерации в сфере охраны здоровья по ОКОГУ</t>
  </si>
  <si>
    <t>Код отрасли по ОКОНХ</t>
  </si>
  <si>
    <t>Приложение N 3</t>
  </si>
  <si>
    <t>к приказу Министерства здравоохранения</t>
  </si>
  <si>
    <t>Российской Федерации</t>
  </si>
  <si>
    <t>от 10 ноября 2020 г. N 1207н</t>
  </si>
  <si>
    <t>75.11.21</t>
  </si>
  <si>
    <t>18401395000</t>
  </si>
  <si>
    <t>00088390</t>
  </si>
  <si>
    <t>Сведения о проведении профилактического медицинского осмотра (ПМО) и диспансеризации определенных групп взрослого населения (ДОГВН)</t>
  </si>
  <si>
    <t>(1000)</t>
  </si>
  <si>
    <t>Возраст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</si>
  <si>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</si>
  <si>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</si>
  <si>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</si>
  <si>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</si>
  <si>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</si>
  <si>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</si>
  <si>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</si>
  <si>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18-34</t>
  </si>
  <si>
    <t>35-39</t>
  </si>
  <si>
    <t>40-54</t>
  </si>
  <si>
    <t>55-59</t>
  </si>
  <si>
    <t>60-64</t>
  </si>
  <si>
    <t>65-74</t>
  </si>
  <si>
    <t>75 и старше</t>
  </si>
  <si>
    <t>Всего</t>
  </si>
  <si>
    <t>ДОГВН   (чел.)</t>
  </si>
  <si>
    <t>N   строки</t>
  </si>
  <si>
    <t>ПМО    (чел.)</t>
  </si>
  <si>
    <t>(1001)</t>
  </si>
  <si>
    <t>,</t>
  </si>
  <si>
    <t>;</t>
  </si>
  <si>
    <t>Число лиц в трудоспособном возрасте прошло:</t>
  </si>
  <si>
    <t>Сведения о приёмах (осмотрах), консультациях, исследованиях и иных медицинских вмешательствах, входящих в объем профилактического медицинского осмотра и первого этапа диспансеризации</t>
  </si>
  <si>
    <t>(2000)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</si>
  <si>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</si>
  <si>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</si>
  <si>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</si>
  <si>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</si>
  <si>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состояния</t>
  </si>
  <si>
    <t>Опрос (анкетирование)</t>
  </si>
  <si>
    <t>X</t>
  </si>
  <si>
    <t>Расчет на основании антропометрии (измерение роста, массы тела, окружности талии)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</si>
  <si>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</si>
  <si>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</si>
  <si>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</si>
  <si>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</si>
  <si>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</si>
  <si>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или рентгенография легких</t>
  </si>
  <si>
    <t>Электрокардиография в покое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</si>
  <si>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</si>
  <si>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</si>
  <si>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</si>
  <si>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</si>
  <si>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</si>
  <si>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</si>
  <si>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Эзофагогастродуоденоскопия</t>
  </si>
  <si>
    <t>Общий анализ крови</t>
  </si>
  <si>
    <t>Краткое индивидуальное профилактическое консультирование</t>
  </si>
  <si>
    <t>Прием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</si>
  <si>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б) граждан в возрасте 40 лет и старше 1 раз в год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</si>
  <si>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</si>
  <si>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19.1</t>
  </si>
  <si>
    <t>19.2</t>
  </si>
  <si>
    <t>N  строки</t>
  </si>
  <si>
    <t>Число лиц, которые по результатам первого этапа диспансеризации направлены на второй этап ___________.</t>
  </si>
  <si>
    <t>(2001)</t>
  </si>
  <si>
    <t>Сведения о приёмах (осмотрах), медицинских исследованиях и иных медицинских вмешательствах второго этапа диспансеризации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</si>
  <si>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</si>
  <si>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</si>
  <si>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</si>
  <si>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патологическое состояние</t>
  </si>
  <si>
    <t>в рамках диспансеризации</t>
  </si>
  <si>
    <t>Осмотр (консультация) врачом-неврологом</t>
  </si>
  <si>
    <t>Дуплексное сканирование брахиоцефальных артерий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</si>
  <si>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</si>
  <si>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</si>
  <si>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</si>
  <si>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</si>
  <si>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</si>
  <si>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</si>
  <si>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</si>
  <si>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</si>
  <si>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</si>
  <si>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</si>
  <si>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нижних конечностей атеросклеротического генеза или болезнями, характеризующимися повышенным кровяным давлением</t>
  </si>
  <si>
    <t>с выявленным по результатам анкетирования риском пагубного потребления алкоголя и (или) потребления наркотических средств и психотропных веществ без назначения врача</t>
  </si>
  <si>
    <t>в возрасте 65 лет и старше в целях коррекции выявленных факторов риска и (или) профилактики старческой астении</t>
  </si>
  <si>
    <t>при выявлении высокого относительного, высокого и очень высокого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</si>
  <si>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Прием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</si>
  <si>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заболевания</t>
  </si>
  <si>
    <t>N   строки</t>
  </si>
  <si>
    <t>13.1</t>
  </si>
  <si>
    <t>13.2</t>
  </si>
  <si>
    <t>13.3</t>
  </si>
  <si>
    <t>13.4</t>
  </si>
  <si>
    <t>(3000)</t>
  </si>
  <si>
    <t>проведено ранее (в предшествующие 12 мес.)</t>
  </si>
  <si>
    <t>январь</t>
  </si>
  <si>
    <t xml:space="preserve">                                                                                                        2021 года                          за период</t>
  </si>
  <si>
    <t>Число лиц, прошедших полностью все мероприятия второго этапа диспансеризации, на которые они были направлены по результатам первого этапа</t>
  </si>
  <si>
    <t>Число лиц, прошедших частично (не все рекомендованные) мероприятия второго этапа диспансеризации, на которые они были направлены по результатам первого этапа</t>
  </si>
  <si>
    <t>Число лиц, не прошедших ни одного мероприятия второго этапа диспансеризации, на которые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</si>
  <si>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заболеваниях, повышающих вероятность развития хронических неинфекционных заболеваний (далее - факторы риска)</t>
  </si>
  <si>
    <t>Наименование факторов риска и других патологических состояний и заболеваний</t>
  </si>
  <si>
    <r>
      <t xml:space="preserve">Код </t>
    </r>
    <r>
      <rPr>
        <sz val="12"/>
        <color indexed="30"/>
        <rFont val="Times New Roman"/>
        <family val="1"/>
        <charset val="204"/>
      </rPr>
      <t>МКБ-10</t>
    </r>
    <r>
      <rPr>
        <vertAlign val="superscript"/>
        <sz val="12"/>
        <color indexed="8"/>
        <rFont val="Times New Roman"/>
        <family val="1"/>
        <charset val="204"/>
      </rPr>
      <t> </t>
    </r>
    <r>
      <rPr>
        <vertAlign val="superscript"/>
        <sz val="12"/>
        <color indexed="30"/>
        <rFont val="Times New Roman"/>
        <family val="1"/>
        <charset val="204"/>
      </rPr>
      <t>1</t>
    </r>
  </si>
  <si>
    <t>в трудоспособном возрасте</t>
  </si>
  <si>
    <t>в возрасте старше трудоспособного</t>
  </si>
  <si>
    <t>Гиперхолестеринемия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</si>
  <si>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</si>
  <si>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</si>
  <si>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</si>
  <si>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</si>
  <si>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</si>
  <si>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</si>
  <si>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</si>
  <si>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</si>
  <si>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</si>
  <si>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</si>
  <si>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</si>
  <si>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</si>
  <si>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</si>
  <si>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</si>
  <si>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</si>
  <si>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</si>
  <si>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</si>
  <si>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Z82.4</t>
  </si>
  <si>
    <t>Z82.3</t>
  </si>
  <si>
    <t>Z80.0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</si>
  <si>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</si>
  <si>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</si>
  <si>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</si>
  <si>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</si>
  <si>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</si>
  <si>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</si>
  <si>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>-</t>
  </si>
  <si>
    <t>Высокий (более 1 ед.) относительный сердечно-сосудистый риск</t>
  </si>
  <si>
    <t>Старческая астения</t>
  </si>
  <si>
    <t>R54</t>
  </si>
  <si>
    <t>N строки</t>
  </si>
  <si>
    <t>Мужчины в том числе:</t>
  </si>
  <si>
    <t>Женщины в том числе:</t>
  </si>
  <si>
    <t>Все взрослое население  в том числе:</t>
  </si>
  <si>
    <t>(4000)</t>
  </si>
  <si>
    <r>
      <t xml:space="preserve">Число лиц, у которых по </t>
    </r>
    <r>
      <rPr>
        <sz val="16"/>
        <color indexed="30"/>
        <rFont val="Times New Roman"/>
        <family val="1"/>
        <charset val="204"/>
      </rPr>
      <t>строкам 03</t>
    </r>
    <r>
      <rPr>
        <sz val="16"/>
        <color indexed="8"/>
        <rFont val="Times New Roman"/>
        <family val="1"/>
        <charset val="204"/>
      </rPr>
      <t xml:space="preserve">, </t>
    </r>
    <r>
      <rPr>
        <sz val="16"/>
        <color indexed="30"/>
        <rFont val="Times New Roman"/>
        <family val="1"/>
        <charset val="204"/>
      </rPr>
      <t>04</t>
    </r>
    <r>
      <rPr>
        <sz val="16"/>
        <color indexed="8"/>
        <rFont val="Times New Roman"/>
        <family val="1"/>
        <charset val="204"/>
      </rPr>
      <t xml:space="preserve">, </t>
    </r>
    <r>
      <rPr>
        <sz val="16"/>
        <color indexed="30"/>
        <rFont val="Times New Roman"/>
        <family val="1"/>
        <charset val="204"/>
      </rPr>
      <t>07</t>
    </r>
    <r>
      <rPr>
        <sz val="16"/>
        <color indexed="8"/>
        <rFont val="Times New Roman"/>
        <family val="1"/>
        <charset val="204"/>
      </rPr>
      <t xml:space="preserve">, </t>
    </r>
    <r>
      <rPr>
        <sz val="16"/>
        <color indexed="30"/>
        <rFont val="Times New Roman"/>
        <family val="1"/>
        <charset val="204"/>
      </rPr>
      <t>08</t>
    </r>
    <r>
      <rPr>
        <sz val="16"/>
        <color indexed="8"/>
        <rFont val="Times New Roman"/>
        <family val="1"/>
        <charset val="204"/>
      </rPr>
      <t xml:space="preserve">, </t>
    </r>
    <r>
      <rPr>
        <sz val="16"/>
        <color indexed="30"/>
        <rFont val="Times New Roman"/>
        <family val="1"/>
        <charset val="204"/>
      </rPr>
      <t>09</t>
    </r>
    <r>
      <rPr>
        <sz val="16"/>
        <color indexed="8"/>
        <rFont val="Times New Roman"/>
        <family val="1"/>
        <charset val="204"/>
      </rPr>
      <t xml:space="preserve"> отсутствуют факторы риска </t>
    </r>
  </si>
  <si>
    <t>(4001)</t>
  </si>
  <si>
    <t>Заболевания, выявленные при проведении профилактического медицинского осмотра (диспансеризации), установление диспансерного наблюдения</t>
  </si>
  <si>
    <t>(5000)</t>
  </si>
  <si>
    <t>Наименование классов и отдельных заболеваний</t>
  </si>
  <si>
    <t>Код МКБ-10</t>
  </si>
  <si>
    <t>Выявлено заболеваний</t>
  </si>
  <si>
    <t>из них: с впервые в жизни установленным диагнозом</t>
  </si>
  <si>
    <t>всего</t>
  </si>
  <si>
    <t>из них: установлено диспансерное наблюдение</t>
  </si>
  <si>
    <t>В трудоспособном возрасте</t>
  </si>
  <si>
    <t>В возрасте старше трудоспособного</t>
  </si>
  <si>
    <t>Туберкулез органов дыхания</t>
  </si>
  <si>
    <t>А15 - А16</t>
  </si>
  <si>
    <t>Злокачественные новообразования</t>
  </si>
  <si>
    <t>C00 - С97</t>
  </si>
  <si>
    <t>Из них губы, полости рта и глотки</t>
  </si>
  <si>
    <t>C00 - С14</t>
  </si>
  <si>
    <t>из них в 1-2 стадии</t>
  </si>
  <si>
    <t>пищевода</t>
  </si>
  <si>
    <t>С15</t>
  </si>
  <si>
    <t>желудка</t>
  </si>
  <si>
    <t>С16</t>
  </si>
  <si>
    <t>тонкого кишечника</t>
  </si>
  <si>
    <t>С17</t>
  </si>
  <si>
    <t>ободочной кишки</t>
  </si>
  <si>
    <t>С18</t>
  </si>
  <si>
    <t>ректосигмоидного соединения, прямой кишки, заднего прохода (ануса) и анального канала</t>
  </si>
  <si>
    <t>С19 - С21</t>
  </si>
  <si>
    <t>трахеи, бронхов, легкого</t>
  </si>
  <si>
    <t>C33,</t>
  </si>
  <si>
    <t>С34</t>
  </si>
  <si>
    <t>кожи</t>
  </si>
  <si>
    <t>С43-</t>
  </si>
  <si>
    <t>С44</t>
  </si>
  <si>
    <t>молочной железы</t>
  </si>
  <si>
    <t>С50</t>
  </si>
  <si>
    <t>из них в 0-1 стадии</t>
  </si>
  <si>
    <t>2 стадии</t>
  </si>
  <si>
    <t>шейки матки</t>
  </si>
  <si>
    <t>С53</t>
  </si>
  <si>
    <t>предстательной железы</t>
  </si>
  <si>
    <t>С61</t>
  </si>
  <si>
    <t>Сахарный диабет</t>
  </si>
  <si>
    <t>Е10 - Е14</t>
  </si>
  <si>
    <t>из него: инсулиннезависимый сахарный диабет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</si>
  <si>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</si>
  <si>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</si>
  <si>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</si>
  <si>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</si>
  <si>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</si>
  <si>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</si>
  <si>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</si>
  <si>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</si>
  <si>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</si>
  <si>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</si>
  <si>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</si>
  <si>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I00 - I99</t>
  </si>
  <si>
    <t>из них болезни, характеризующиеся повышенным кровяным давлением</t>
  </si>
  <si>
    <t>I10 - I13</t>
  </si>
  <si>
    <t>ишемические болезни сердца</t>
  </si>
  <si>
    <t>I20 - I25</t>
  </si>
  <si>
    <t>цереброваскулярные болезни</t>
  </si>
  <si>
    <t>I60 - I69</t>
  </si>
  <si>
    <t>из них: закупорка и стеноз прецеребральных и (или) церебральных артерий, не приводящие к инфаркту мозга</t>
  </si>
  <si>
    <t>I65, I66</t>
  </si>
  <si>
    <t>Болезни органов дыхания</t>
  </si>
  <si>
    <t>J00 - 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</si>
  <si>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</si>
  <si>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J40 - J43</t>
  </si>
  <si>
    <t>Другая хроническая обструктивная легочная болезнь, астма, астматический статус, бронхоэктатическая болезнь</t>
  </si>
  <si>
    <t>J44 - J47</t>
  </si>
  <si>
    <t>Болезни органов пищеварения</t>
  </si>
  <si>
    <t>K00 - К93</t>
  </si>
  <si>
    <t>язва желудка, язва двенадцатиперстной кишки</t>
  </si>
  <si>
    <t>K25, К26</t>
  </si>
  <si>
    <t>гастрит и дуоденит</t>
  </si>
  <si>
    <t>K29</t>
  </si>
  <si>
    <t>Прочие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</si>
  <si>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</si>
  <si>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</si>
  <si>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</si>
  <si>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</si>
  <si>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</si>
  <si>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</si>
  <si>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</si>
  <si>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</si>
  <si>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</si>
  <si>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</si>
  <si>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</si>
  <si>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</si>
  <si>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</si>
  <si>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</si>
  <si>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</si>
  <si>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</si>
  <si>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</si>
  <si>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</si>
  <si>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</si>
  <si>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</si>
  <si>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</si>
  <si>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</si>
  <si>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</si>
  <si>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</si>
  <si>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3.1</t>
  </si>
  <si>
    <t>9.1</t>
  </si>
  <si>
    <t>9.2</t>
  </si>
  <si>
    <t>9.3</t>
  </si>
  <si>
    <t>9.4</t>
  </si>
  <si>
    <t>10.1</t>
  </si>
  <si>
    <t>10.2</t>
  </si>
  <si>
    <t>11.1</t>
  </si>
  <si>
    <t>Н25, Н26</t>
  </si>
  <si>
    <t>(5001)</t>
  </si>
  <si>
    <t>Число лиц с артериальным давлением ниже 140/90 мм рт.ст. на фоне приема гипотензивных лекарственных препаратов, при наличии болезней, характеризующихся повышенным кровяным давлением (I10 - I15 по МКБ-10)</t>
  </si>
  <si>
    <t>Общие результаты профилактического медицинского осмотра, диспансеризации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</si>
  <si>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</si>
  <si>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</si>
  <si>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</si>
  <si>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</si>
  <si>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IIIA группа здоровья</t>
  </si>
  <si>
    <t>Определена IIIБ группа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</si>
  <si>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</si>
  <si>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</si>
  <si>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</si>
  <si>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врачом-терапевтом</t>
  </si>
  <si>
    <t>врачом-специалистом</t>
  </si>
  <si>
    <t>фельдшером фельдшерского здравпункта или фельдшерско-акушерского пункта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</si>
  <si>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</si>
  <si>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</si>
  <si>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6.1</t>
  </si>
  <si>
    <t>6.2</t>
  </si>
  <si>
    <t>6.3</t>
  </si>
  <si>
    <t>6.4</t>
  </si>
  <si>
    <t>(6000)</t>
  </si>
  <si>
    <t>N строки</t>
  </si>
  <si>
    <t>человек.</t>
  </si>
  <si>
    <t xml:space="preserve">(6002)    Общее число неработающих лиц, прошедших профилактический медицинский осмотр, диспансеризацию </t>
  </si>
  <si>
    <t xml:space="preserve">(6001)    Общее число работающих лиц, прошедших профилактический медицинский осмотр, диспансеризацию </t>
  </si>
  <si>
    <t>единиц.</t>
  </si>
  <si>
    <t xml:space="preserve">(6005)    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 </t>
  </si>
  <si>
    <t>(6004)    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</si>
  <si>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 xml:space="preserve">(6008)   Число лиц с отказами от прохождения отдельных медицинских мероприятий в рамках профилактического медицинского осмотра, диспансеризации </t>
  </si>
  <si>
    <t>(6009)   Число лиц с отказами от прохождения профилактического медицинского осмотра в целом, от диспансеризации в целом</t>
  </si>
  <si>
    <t xml:space="preserve">(6003)    Общее число лиц, обучающихся в образовательных организациях по очной форме, прошедших профилактический медицинский осмотр, диспансеризацию </t>
  </si>
  <si>
    <t>(6010)   Число лиц, проживающих в сельской местности, прошедших профилактический медицинский осмотр, диспансеризацию</t>
  </si>
  <si>
    <t xml:space="preserve"> диспансеризацию определенных групп взрослого населения всего 1</t>
  </si>
  <si>
    <t xml:space="preserve"> в том числе: женщин          2 </t>
  </si>
  <si>
    <t xml:space="preserve">мужчин                                       3 </t>
  </si>
  <si>
    <t xml:space="preserve">профилактический медицинский осмотр всего                                             4 </t>
  </si>
  <si>
    <t xml:space="preserve"> в том числе: женщин           5 </t>
  </si>
  <si>
    <t xml:space="preserve">мужчин                                       6 </t>
  </si>
  <si>
    <t>(3001)</t>
  </si>
  <si>
    <t>(3002)</t>
  </si>
  <si>
    <t>(3003)</t>
  </si>
  <si>
    <t xml:space="preserve"> Код по ОКЕИ: человек - 792</t>
  </si>
  <si>
    <t>Код по ОКЕИ: единица - 642</t>
  </si>
  <si>
    <t xml:space="preserve"> Код по ОКЕИ: едицица - 642</t>
  </si>
  <si>
    <t xml:space="preserve">Должностное лицо (уполномоченный представитель), ответственное за предоставление статистической информации </t>
  </si>
  <si>
    <t>должность (руководитель медицинской организации)</t>
  </si>
  <si>
    <t>Ф.И.О.</t>
  </si>
  <si>
    <t>Ф.И.О. исполнителя</t>
  </si>
  <si>
    <t>номер контактного телефона</t>
  </si>
  <si>
    <t>E-mail</t>
  </si>
  <si>
    <t>М.П.</t>
  </si>
  <si>
    <t>гр.8 должна быть меньше гр.7 по всем строкам</t>
  </si>
  <si>
    <t>гр.12 должна быть меньше гр.11 по всем строкам</t>
  </si>
  <si>
    <t>сумма граф.9+10 должна быть меньше или равна гр.8 по всем строкам</t>
  </si>
  <si>
    <t>сумма граф.13+14 должна быть меньше или равна гр.12 по всем строкам</t>
  </si>
  <si>
    <t xml:space="preserve">Некоторые инфекционные и паразитарные болезни </t>
  </si>
  <si>
    <t>А00-В99</t>
  </si>
  <si>
    <t xml:space="preserve">в том числе: туберкулез </t>
  </si>
  <si>
    <t>1.1</t>
  </si>
  <si>
    <t>А15-А19</t>
  </si>
  <si>
    <t xml:space="preserve">Новообразования </t>
  </si>
  <si>
    <t>C00-D48</t>
  </si>
  <si>
    <t>Болезни крови, кроветворных органов и отдельные нарушения, вовлекающие иммунный механизм</t>
  </si>
  <si>
    <t>3</t>
  </si>
  <si>
    <t xml:space="preserve">D50-D89 </t>
  </si>
  <si>
    <t>в том числе: анемии, связанные с питанием, гемолитические анемии, апластические и другие анемии</t>
  </si>
  <si>
    <t xml:space="preserve">D50-D64 </t>
  </si>
  <si>
    <t xml:space="preserve">Болезни эндокринной системы, расстройства питания и нарушения обмена веществ </t>
  </si>
  <si>
    <t>4</t>
  </si>
  <si>
    <t xml:space="preserve">Е00-Е90 </t>
  </si>
  <si>
    <t xml:space="preserve">ожирение </t>
  </si>
  <si>
    <t>4.2</t>
  </si>
  <si>
    <t xml:space="preserve">Е66 </t>
  </si>
  <si>
    <t>нарушения обмена липопротеинов и другие липидемии</t>
  </si>
  <si>
    <t>4.3</t>
  </si>
  <si>
    <t xml:space="preserve">Болезни нервной системы </t>
  </si>
  <si>
    <t>5</t>
  </si>
  <si>
    <t xml:space="preserve">G00-G99 </t>
  </si>
  <si>
    <t xml:space="preserve">Болезни глаза и его придаточного аппарата </t>
  </si>
  <si>
    <t>6</t>
  </si>
  <si>
    <t xml:space="preserve">Н00-Н59 </t>
  </si>
  <si>
    <t xml:space="preserve">Болезни системы кровообращения </t>
  </si>
  <si>
    <t>7</t>
  </si>
  <si>
    <t xml:space="preserve">I00-I99 </t>
  </si>
  <si>
    <t xml:space="preserve">в том числе: стенокардия (грудная жаба) </t>
  </si>
  <si>
    <t>7.2.1</t>
  </si>
  <si>
    <t xml:space="preserve">I20 </t>
  </si>
  <si>
    <t xml:space="preserve">в том числе нестабильная стенокардия </t>
  </si>
  <si>
    <t>7.2.2</t>
  </si>
  <si>
    <t xml:space="preserve">I20.0 </t>
  </si>
  <si>
    <t xml:space="preserve">хроническая ишемическая болезнь сердца </t>
  </si>
  <si>
    <t xml:space="preserve">I25 </t>
  </si>
  <si>
    <t xml:space="preserve">в том числе: перенесенный в прошлом инфаркт миокарда </t>
  </si>
  <si>
    <t>I25.2</t>
  </si>
  <si>
    <t xml:space="preserve">другие болезни сердца </t>
  </si>
  <si>
    <t>7.3</t>
  </si>
  <si>
    <t xml:space="preserve">I30-I52 </t>
  </si>
  <si>
    <t xml:space="preserve">другие цереброваскулярные болезни </t>
  </si>
  <si>
    <t xml:space="preserve">I67 </t>
  </si>
  <si>
    <t>аневризма брюшной аорты</t>
  </si>
  <si>
    <t>I71.3-I71.4</t>
  </si>
  <si>
    <t xml:space="preserve">Болезни органов дыхания </t>
  </si>
  <si>
    <t xml:space="preserve">J00-J98 </t>
  </si>
  <si>
    <t>в том числе: вирусная пневмония, пневмония, вызванная Streptococcus pneumonia, пневмония, вызванная Haemophilus influenza, бактериальная пневмония, пневмония, вызванная другими инфекционными возбудителями, пневмония при болезнях, классифицированных в других рубриках, пневмония без уточнения возбудителя</t>
  </si>
  <si>
    <t>8.1</t>
  </si>
  <si>
    <t xml:space="preserve">J12-J18 </t>
  </si>
  <si>
    <t xml:space="preserve">Болезни органов пищеварения </t>
  </si>
  <si>
    <t xml:space="preserve">К00-К93 </t>
  </si>
  <si>
    <t xml:space="preserve">неинфекционный энтерит и колит </t>
  </si>
  <si>
    <t xml:space="preserve">К50-К52 </t>
  </si>
  <si>
    <t xml:space="preserve">другие болезни кишечника </t>
  </si>
  <si>
    <t xml:space="preserve">К55-К63 </t>
  </si>
  <si>
    <t xml:space="preserve">Болезни мочеполовой системы </t>
  </si>
  <si>
    <t xml:space="preserve">N00-N99 </t>
  </si>
  <si>
    <t>в том числе: гиперплазия предстательной железы, воспалительные болезни предстательной железы, другие болезни предстательной железы</t>
  </si>
  <si>
    <t xml:space="preserve">N40-N42 </t>
  </si>
  <si>
    <t xml:space="preserve">доброкачественная дисплазия молочной железы </t>
  </si>
  <si>
    <t xml:space="preserve">N60 </t>
  </si>
  <si>
    <t xml:space="preserve">воспалительные болезни женских тазовых органов </t>
  </si>
  <si>
    <t xml:space="preserve">N70-N77 </t>
  </si>
  <si>
    <t>Прочие заболевания</t>
  </si>
  <si>
    <t>Болезни уха и сосцевидного отростка</t>
  </si>
  <si>
    <t>Н60-Н95</t>
  </si>
  <si>
    <t>Болезни кожи и подкожной клетчатки</t>
  </si>
  <si>
    <t>L00-L98</t>
  </si>
  <si>
    <t>Болезни костно-мышечной системы</t>
  </si>
  <si>
    <t>М00-М99</t>
  </si>
  <si>
    <t>ИТОГО заболеваний</t>
  </si>
  <si>
    <t>А00-Т98</t>
  </si>
  <si>
    <t xml:space="preserve"> </t>
  </si>
  <si>
    <t>Отягощенная наследственность по инфаркту  миокарда</t>
  </si>
  <si>
    <t>Отягощенная наследственность по мозговому  инсульту</t>
  </si>
  <si>
    <t>Отягощенная наследственность по ЗНО колоректальной области</t>
  </si>
  <si>
    <t>Отягощенная наследственность по ЗНО по другим локализациям</t>
  </si>
  <si>
    <t>Проверка</t>
  </si>
  <si>
    <t>Прием (осмотр) врачом-терапевтом по результатам первого этапа диспансеризации:                                                                                                                                           а) граждан в возрасте от 18 лет до 39 лет 1 раз в 3 года</t>
  </si>
  <si>
    <t>ГУЗ "Поликлиника № 4"</t>
  </si>
  <si>
    <t>ГУЗ "Клиническая поликлиника № 28"</t>
  </si>
  <si>
    <t>ГУЗ "Поликлиника № 30"</t>
  </si>
  <si>
    <t>ГУЗ "Поликлиника № 5"</t>
  </si>
  <si>
    <t>ГУЗ "Больница № 16"</t>
  </si>
  <si>
    <t>ГУЗ "Больница №22"</t>
  </si>
  <si>
    <t>ГУЗ "КБСМП № 15"</t>
  </si>
  <si>
    <t>ГУЗ "Больница № 24"</t>
  </si>
  <si>
    <t xml:space="preserve">ГУЗ "Поликлиника № 2"  </t>
  </si>
  <si>
    <t>ГУЗ "КБ СМП № 7"</t>
  </si>
  <si>
    <t>ГУЗ "Клиническая больница № 11"</t>
  </si>
  <si>
    <t>ГУЗ "Клиническая поликлиника № 1"</t>
  </si>
  <si>
    <t>ГУЗ "Клиническая поликлиника №12"</t>
  </si>
  <si>
    <t>ГАУЗ "Клиническая поликлиника №3"</t>
  </si>
  <si>
    <t>ГБУЗ "ГКБ № 1 им. С.З.Фишера"</t>
  </si>
  <si>
    <t xml:space="preserve">ГБУЗ "Городская клиническая больница №3" </t>
  </si>
  <si>
    <t>ГБУЗ "Городская больница № 2"</t>
  </si>
  <si>
    <t>ГБУЗ "Городская поликлиника №5"</t>
  </si>
  <si>
    <t>ГБУЗ "Алексеевская ЦРБ"</t>
  </si>
  <si>
    <t>ГБУЗ "Быковская ЦРБ"</t>
  </si>
  <si>
    <t>ГБУЗ "Городищенская ЦРБ"</t>
  </si>
  <si>
    <t>ГБУЗ "Даниловская ЦРБ"</t>
  </si>
  <si>
    <t>ГБУЗ "ЦРБ Дубовского муниципального района"</t>
  </si>
  <si>
    <t>ГБУЗ Еланская ЦРБ</t>
  </si>
  <si>
    <t>ГУЗ "Жирновская ЦРБ"</t>
  </si>
  <si>
    <t>ГБУЗ "Иловлинская ЦРБ"</t>
  </si>
  <si>
    <t>ГБУЗ "Калачевская ЦРБ"</t>
  </si>
  <si>
    <t>ГБУЗ г.Камышина "Городская больница № 1"</t>
  </si>
  <si>
    <t>ГБУЗ ЦГБ г.Камышина</t>
  </si>
  <si>
    <t>ГБУЗ "Киквидзенская ЦРБ"</t>
  </si>
  <si>
    <t>ГБУЗ "ЦРБ Клетского муниципального района"</t>
  </si>
  <si>
    <t>ГБУЗ "Котельниковская ЦРБ"</t>
  </si>
  <si>
    <t>ГБУЗ ЦРБ Котовского муниципального района</t>
  </si>
  <si>
    <t>ГБУЗ "Ленинская ЦРБ"</t>
  </si>
  <si>
    <t>ГБУЗ "Михайловская ЦРБ"</t>
  </si>
  <si>
    <t>ГБУЗ "Нехаевская ЦРБ"</t>
  </si>
  <si>
    <t>ГБУЗ "Николаевская ЦРБ"</t>
  </si>
  <si>
    <t>ГБУЗ "Новоаннинская ЦРБ"</t>
  </si>
  <si>
    <t>ГБУЗ "Новониколаевская ЦРБ"</t>
  </si>
  <si>
    <t>ГБУЗ "Октябрьская ЦРБ"</t>
  </si>
  <si>
    <t>ГБУЗ "ЦРБ Ольховского муниципального района"</t>
  </si>
  <si>
    <t xml:space="preserve">ГБУЗ "Палласовская ЦРБ"  </t>
  </si>
  <si>
    <t>ГБУЗ "Кумылженская ЦРБ"</t>
  </si>
  <si>
    <t>ГБУ "ЦРБ Руднянского муниципального района"</t>
  </si>
  <si>
    <t>ГБУЗ "Светлоярская ЦРБ"</t>
  </si>
  <si>
    <t>ГБУЗ "Серафимовичская ЦРБ"</t>
  </si>
  <si>
    <t>ГБУЗ "Среднеахтубинская ЦРБ"</t>
  </si>
  <si>
    <t>ГБУЗ "Старополтавская ЦРБ"</t>
  </si>
  <si>
    <t>ГБУЗ "ЦРБ Суровикинского муниципального района"</t>
  </si>
  <si>
    <t>ГБУЗ Урюпинская ЦРБ</t>
  </si>
  <si>
    <t>ГБУЗ "Фроловская ЦРБ"</t>
  </si>
  <si>
    <t>ГБУЗ "Чернышковская ЦРБ"</t>
  </si>
  <si>
    <t>гр.3 табл.1001  должна быть больше или равна суммы строк с 1 по 4, но меньше или равна суммы строк с 1 по 5 по гр.10 табл.1000</t>
  </si>
  <si>
    <r>
      <t xml:space="preserve">гр.5 табл.1001  должна быть </t>
    </r>
    <r>
      <rPr>
        <b/>
        <sz val="11"/>
        <color indexed="8"/>
        <rFont val="Calibri"/>
        <family val="2"/>
        <charset val="204"/>
      </rPr>
      <t>больше или равна</t>
    </r>
    <r>
      <rPr>
        <sz val="11"/>
        <color theme="1"/>
        <rFont val="Calibri"/>
        <family val="2"/>
        <scheme val="minor"/>
      </rPr>
      <t xml:space="preserve">  суммы строк с 1 по 3  гр.13 табл.1000, но </t>
    </r>
    <r>
      <rPr>
        <b/>
        <sz val="11"/>
        <color indexed="8"/>
        <rFont val="Calibri"/>
        <family val="2"/>
        <charset val="204"/>
      </rPr>
      <t>меньше</t>
    </r>
    <r>
      <rPr>
        <sz val="11"/>
        <color theme="1"/>
        <rFont val="Calibri"/>
        <family val="2"/>
        <scheme val="minor"/>
      </rPr>
      <t xml:space="preserve"> или равна суммы строк с 1 по 4 по гр.13 табл.1000</t>
    </r>
  </si>
  <si>
    <t>гр.6 табл.1001  должна быть больше или равна суммы строк с 1 по 4, но меньше или равна суммы строк с 1 по 5 по гр.9 табл.1000</t>
  </si>
  <si>
    <t xml:space="preserve">Сделать проверку на соответствие значений с  гр 4 и 8, 5 и 9, 6 и 10, 7 и 12, в паре второе число д. б. &lt;= первого по всем строкам </t>
  </si>
  <si>
    <r>
      <t xml:space="preserve">гр.2 табл.1001  должна быть </t>
    </r>
    <r>
      <rPr>
        <b/>
        <sz val="11"/>
        <color indexed="8"/>
        <rFont val="Calibri"/>
        <family val="2"/>
        <charset val="204"/>
      </rPr>
      <t>больше или равна</t>
    </r>
    <r>
      <rPr>
        <sz val="11"/>
        <color theme="1"/>
        <rFont val="Calibri"/>
        <family val="2"/>
        <scheme val="minor"/>
      </rPr>
      <t xml:space="preserve">  суммы строк с 1 по 3  гр.14 табл.1000, но </t>
    </r>
    <r>
      <rPr>
        <b/>
        <sz val="11"/>
        <color indexed="8"/>
        <rFont val="Calibri"/>
        <family val="2"/>
        <charset val="204"/>
      </rPr>
      <t>меньше</t>
    </r>
    <r>
      <rPr>
        <sz val="11"/>
        <color theme="1"/>
        <rFont val="Calibri"/>
        <family val="2"/>
        <scheme val="minor"/>
      </rPr>
      <t xml:space="preserve"> или равна суммы строк с 1 по 4 по гр.14 табл.1000</t>
    </r>
  </si>
  <si>
    <t>2.25</t>
  </si>
  <si>
    <t>4.1</t>
  </si>
  <si>
    <t>4.4</t>
  </si>
  <si>
    <t>5.1</t>
  </si>
  <si>
    <t>7.1</t>
  </si>
  <si>
    <t>7.2</t>
  </si>
  <si>
    <t>7.3.1</t>
  </si>
  <si>
    <t>7.4</t>
  </si>
  <si>
    <t>7.5</t>
  </si>
  <si>
    <t>7.5.1</t>
  </si>
  <si>
    <t>7.5.2</t>
  </si>
  <si>
    <t>7.6</t>
  </si>
  <si>
    <t>8.0</t>
  </si>
  <si>
    <t>8.2</t>
  </si>
  <si>
    <t>8.3</t>
  </si>
  <si>
    <t>9.0</t>
  </si>
  <si>
    <t>10.0</t>
  </si>
  <si>
    <t>10.1.1</t>
  </si>
  <si>
    <t>10.1.2</t>
  </si>
  <si>
    <t>10.1.3</t>
  </si>
  <si>
    <t>11.0</t>
  </si>
  <si>
    <t>12.0</t>
  </si>
  <si>
    <t>13.0</t>
  </si>
  <si>
    <t>№ п/п</t>
  </si>
  <si>
    <t xml:space="preserve">Наименование медицинской организации </t>
  </si>
  <si>
    <r>
      <t xml:space="preserve">Плановые показатели                       </t>
    </r>
    <r>
      <rPr>
        <b/>
        <sz val="11"/>
        <color indexed="10"/>
        <rFont val="Times New Roman"/>
        <family val="1"/>
        <charset val="204"/>
      </rPr>
      <t>гр.1</t>
    </r>
  </si>
  <si>
    <r>
      <t xml:space="preserve">в том числе граждан старше трудоспособного возраста*                                </t>
    </r>
    <r>
      <rPr>
        <b/>
        <sz val="11"/>
        <color indexed="10"/>
        <rFont val="Times New Roman"/>
        <family val="1"/>
        <charset val="204"/>
      </rPr>
      <t>гр.2</t>
    </r>
  </si>
  <si>
    <r>
      <t xml:space="preserve">Граждане 65 лет                              </t>
    </r>
    <r>
      <rPr>
        <b/>
        <sz val="11"/>
        <color indexed="10"/>
        <rFont val="Times New Roman"/>
        <family val="1"/>
        <charset val="204"/>
      </rPr>
      <t>гр.3</t>
    </r>
  </si>
  <si>
    <r>
      <t xml:space="preserve">Граждане 66 лет и старше                              </t>
    </r>
    <r>
      <rPr>
        <b/>
        <sz val="11"/>
        <color indexed="10"/>
        <rFont val="Times New Roman"/>
        <family val="1"/>
        <charset val="204"/>
      </rPr>
      <t>гр.4</t>
    </r>
  </si>
  <si>
    <r>
      <t xml:space="preserve">Плановые показатели взрослого населения                            </t>
    </r>
    <r>
      <rPr>
        <b/>
        <sz val="11"/>
        <color indexed="10"/>
        <rFont val="Times New Roman"/>
        <family val="1"/>
        <charset val="204"/>
      </rPr>
      <t>гр.19</t>
    </r>
  </si>
  <si>
    <t>ЧУЗ КБ РЖД-Медицина</t>
  </si>
  <si>
    <t>ИТОГО</t>
  </si>
  <si>
    <t xml:space="preserve">Сведения о диспансеризации и профосмотрах  взрослого населения </t>
  </si>
  <si>
    <t>по состоянию на</t>
  </si>
  <si>
    <t>Название учреждения</t>
  </si>
  <si>
    <r>
      <t xml:space="preserve">Число граждан, подлежащих  диспансеризации  </t>
    </r>
    <r>
      <rPr>
        <b/>
        <sz val="14"/>
        <color indexed="10"/>
        <rFont val="Times New Roman"/>
        <family val="1"/>
        <charset val="204"/>
      </rPr>
      <t>(ПЛАН)</t>
    </r>
  </si>
  <si>
    <r>
      <t xml:space="preserve">Число граждан, прошедших 1 этап диспансеризации </t>
    </r>
    <r>
      <rPr>
        <b/>
        <sz val="14"/>
        <color indexed="10"/>
        <rFont val="Times New Roman"/>
        <family val="1"/>
        <charset val="204"/>
      </rPr>
      <t xml:space="preserve"> (ФАКТ)</t>
    </r>
  </si>
  <si>
    <t>Распределение граждан, прошедших 1 этап диспансеризации, по группам состояния здоровья             ВСЕГО</t>
  </si>
  <si>
    <r>
      <t xml:space="preserve">Распределение граждан, прошедших 1 этап диспансеризации, по группам состояния здоровья </t>
    </r>
    <r>
      <rPr>
        <b/>
        <sz val="14"/>
        <color rgb="FFFF0000"/>
        <rFont val="Times New Roman"/>
        <family val="1"/>
        <charset val="204"/>
      </rPr>
      <t>лиц старше трудоспособного возраста</t>
    </r>
  </si>
  <si>
    <t xml:space="preserve">Число граждан, направлен. на 2 этап </t>
  </si>
  <si>
    <t>из них завершили 2 этап</t>
  </si>
  <si>
    <r>
      <t>Чилсо граждан подлежащих профосмотрам</t>
    </r>
    <r>
      <rPr>
        <b/>
        <sz val="14"/>
        <color rgb="FFFF0000"/>
        <rFont val="Times New Roman"/>
        <family val="1"/>
        <charset val="204"/>
      </rPr>
      <t xml:space="preserve"> (ПЛАН)</t>
    </r>
  </si>
  <si>
    <r>
      <t xml:space="preserve">Число граждан, осмотренных на профилактическом медицинском осмотре                                                                             </t>
    </r>
    <r>
      <rPr>
        <b/>
        <sz val="14"/>
        <color indexed="10"/>
        <rFont val="Times New Roman"/>
        <family val="1"/>
        <charset val="204"/>
      </rPr>
      <t xml:space="preserve"> (ФАКТ)</t>
    </r>
  </si>
  <si>
    <r>
      <t xml:space="preserve">ВСЕГО                                         </t>
    </r>
    <r>
      <rPr>
        <sz val="14"/>
        <color indexed="8"/>
        <rFont val="Times New Roman"/>
        <family val="1"/>
        <charset val="204"/>
      </rPr>
      <t xml:space="preserve"> (план) </t>
    </r>
  </si>
  <si>
    <r>
      <rPr>
        <sz val="14"/>
        <color indexed="8"/>
        <rFont val="Times New Roman"/>
        <family val="1"/>
        <charset val="204"/>
      </rPr>
      <t xml:space="preserve">из них  сельские жители          </t>
    </r>
    <r>
      <rPr>
        <sz val="14"/>
        <color indexed="10"/>
        <rFont val="Times New Roman"/>
        <family val="1"/>
        <charset val="204"/>
      </rPr>
      <t>(из гр.1)</t>
    </r>
  </si>
  <si>
    <r>
      <rPr>
        <sz val="14"/>
        <color indexed="8"/>
        <rFont val="Times New Roman"/>
        <family val="1"/>
        <charset val="204"/>
      </rPr>
      <t xml:space="preserve">из них  сельские жители          </t>
    </r>
    <r>
      <rPr>
        <sz val="14"/>
        <color indexed="10"/>
        <rFont val="Times New Roman"/>
        <family val="1"/>
        <charset val="204"/>
      </rPr>
      <t>(из гр.2)</t>
    </r>
  </si>
  <si>
    <t xml:space="preserve">Граждане 65 лет  </t>
  </si>
  <si>
    <t xml:space="preserve">Граждане 66 лет  и старше </t>
  </si>
  <si>
    <t>ВСЕГО</t>
  </si>
  <si>
    <r>
      <rPr>
        <sz val="14"/>
        <color indexed="8"/>
        <rFont val="Times New Roman"/>
        <family val="1"/>
        <charset val="204"/>
      </rPr>
      <t xml:space="preserve">из них сельские жители                </t>
    </r>
    <r>
      <rPr>
        <sz val="14"/>
        <color indexed="10"/>
        <rFont val="Times New Roman"/>
        <family val="1"/>
        <charset val="204"/>
      </rPr>
      <t>(из гр.5)</t>
    </r>
  </si>
  <si>
    <r>
      <rPr>
        <sz val="14"/>
        <color indexed="8"/>
        <rFont val="Times New Roman"/>
        <family val="1"/>
        <charset val="204"/>
      </rPr>
      <t xml:space="preserve">из них сельские жители     </t>
    </r>
    <r>
      <rPr>
        <sz val="14"/>
        <color indexed="10"/>
        <rFont val="Times New Roman"/>
        <family val="1"/>
        <charset val="204"/>
      </rPr>
      <t>(из гр.6)</t>
    </r>
  </si>
  <si>
    <r>
      <t xml:space="preserve"> лица старше 65 лет, доставл. транспортом учреждения соцзащиты </t>
    </r>
    <r>
      <rPr>
        <sz val="14"/>
        <color rgb="FFFF0000"/>
        <rFont val="Times New Roman"/>
        <family val="1"/>
        <charset val="204"/>
      </rPr>
      <t>(из гр.6)</t>
    </r>
    <r>
      <rPr>
        <sz val="14"/>
        <color indexed="8"/>
        <rFont val="Times New Roman"/>
        <family val="1"/>
        <charset val="204"/>
      </rPr>
      <t xml:space="preserve"> </t>
    </r>
  </si>
  <si>
    <t>из графы 5</t>
  </si>
  <si>
    <t>I группа</t>
  </si>
  <si>
    <t xml:space="preserve">II группа </t>
  </si>
  <si>
    <t xml:space="preserve">III группа </t>
  </si>
  <si>
    <t>из графы 14:</t>
  </si>
  <si>
    <t>из графы 17:</t>
  </si>
  <si>
    <r>
      <rPr>
        <b/>
        <sz val="14"/>
        <color indexed="8"/>
        <rFont val="Times New Roman"/>
        <family val="1"/>
        <charset val="204"/>
      </rPr>
      <t xml:space="preserve">из них сельские жители              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гр.19)</t>
    </r>
  </si>
  <si>
    <r>
      <rPr>
        <b/>
        <sz val="14"/>
        <color indexed="8"/>
        <rFont val="Times New Roman"/>
        <family val="1"/>
        <charset val="204"/>
      </rPr>
      <t xml:space="preserve">из них сельские жители              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гр.20)</t>
    </r>
  </si>
  <si>
    <r>
      <t xml:space="preserve">распределение по группам здоровья  </t>
    </r>
    <r>
      <rPr>
        <b/>
        <sz val="14"/>
        <color indexed="10"/>
        <rFont val="Times New Roman"/>
        <family val="1"/>
        <charset val="204"/>
      </rPr>
      <t xml:space="preserve"> (из гр.20)  </t>
    </r>
    <r>
      <rPr>
        <b/>
        <sz val="14"/>
        <rFont val="Times New Roman"/>
        <family val="1"/>
        <charset val="204"/>
      </rPr>
      <t xml:space="preserve">      </t>
    </r>
  </si>
  <si>
    <r>
      <t>инвалиды, участники ВОВ</t>
    </r>
    <r>
      <rPr>
        <sz val="14"/>
        <rFont val="Times New Roman"/>
        <family val="1"/>
        <charset val="204"/>
      </rPr>
      <t xml:space="preserve"> и лица приравн. к ним</t>
    </r>
    <r>
      <rPr>
        <sz val="14"/>
        <color indexed="10"/>
        <rFont val="Times New Roman"/>
        <family val="1"/>
        <charset val="204"/>
      </rPr>
      <t xml:space="preserve">*               </t>
    </r>
  </si>
  <si>
    <r>
      <t xml:space="preserve">  инвалиды по общему заболеванию</t>
    </r>
    <r>
      <rPr>
        <sz val="14"/>
        <color indexed="10"/>
        <rFont val="Times New Roman"/>
        <family val="1"/>
        <charset val="204"/>
      </rPr>
      <t xml:space="preserve">*          </t>
    </r>
  </si>
  <si>
    <t xml:space="preserve">с применением мобильных медиц. комплексов и мобильных бригад для диспансер.           </t>
  </si>
  <si>
    <r>
      <t xml:space="preserve">III </t>
    </r>
    <r>
      <rPr>
        <b/>
        <sz val="14"/>
        <color indexed="10"/>
        <rFont val="Times New Roman"/>
        <family val="1"/>
        <charset val="204"/>
      </rPr>
      <t>a</t>
    </r>
    <r>
      <rPr>
        <b/>
        <sz val="14"/>
        <color indexed="8"/>
        <rFont val="Times New Roman"/>
        <family val="1"/>
        <charset val="204"/>
      </rPr>
      <t xml:space="preserve"> группа </t>
    </r>
  </si>
  <si>
    <r>
      <t xml:space="preserve">III </t>
    </r>
    <r>
      <rPr>
        <b/>
        <sz val="14"/>
        <color indexed="10"/>
        <rFont val="Times New Roman"/>
        <family val="1"/>
        <charset val="204"/>
      </rPr>
      <t>б</t>
    </r>
    <r>
      <rPr>
        <b/>
        <sz val="14"/>
        <color indexed="8"/>
        <rFont val="Times New Roman"/>
        <family val="1"/>
        <charset val="204"/>
      </rPr>
      <t xml:space="preserve"> группа</t>
    </r>
  </si>
  <si>
    <r>
      <t xml:space="preserve">III </t>
    </r>
    <r>
      <rPr>
        <b/>
        <sz val="14"/>
        <color indexed="10"/>
        <rFont val="Times New Roman"/>
        <family val="1"/>
        <charset val="204"/>
      </rPr>
      <t xml:space="preserve">а </t>
    </r>
    <r>
      <rPr>
        <b/>
        <sz val="14"/>
        <color indexed="8"/>
        <rFont val="Times New Roman"/>
        <family val="1"/>
        <charset val="204"/>
      </rPr>
      <t xml:space="preserve">группа </t>
    </r>
  </si>
  <si>
    <r>
      <t>III</t>
    </r>
    <r>
      <rPr>
        <b/>
        <sz val="14"/>
        <color indexed="10"/>
        <rFont val="Times New Roman"/>
        <family val="1"/>
        <charset val="204"/>
      </rPr>
      <t xml:space="preserve"> б</t>
    </r>
    <r>
      <rPr>
        <b/>
        <sz val="14"/>
        <color indexed="8"/>
        <rFont val="Times New Roman"/>
        <family val="1"/>
        <charset val="204"/>
      </rPr>
      <t xml:space="preserve"> группа </t>
    </r>
  </si>
  <si>
    <t>8</t>
  </si>
  <si>
    <t>10</t>
  </si>
  <si>
    <t>11</t>
  </si>
  <si>
    <t>13</t>
  </si>
  <si>
    <t>14</t>
  </si>
  <si>
    <t>14.1</t>
  </si>
  <si>
    <t>14.2</t>
  </si>
  <si>
    <t>15</t>
  </si>
  <si>
    <t>17.1</t>
  </si>
  <si>
    <t>17.2</t>
  </si>
  <si>
    <t>18</t>
  </si>
  <si>
    <t>18.1</t>
  </si>
  <si>
    <t>19</t>
  </si>
  <si>
    <t>20.1</t>
  </si>
  <si>
    <t>23</t>
  </si>
  <si>
    <t>23.1</t>
  </si>
  <si>
    <t>23.2</t>
  </si>
  <si>
    <t>гр. 1.1. меньше либо равна гр.1</t>
  </si>
  <si>
    <t>гр. 2.1. меньше либо равна гр.2</t>
  </si>
  <si>
    <t>Ф.И.О. главного врача</t>
  </si>
  <si>
    <t>гр. 6.1. меньше либо равна гр.6</t>
  </si>
  <si>
    <t>гр. 6.2. меньше либо равна гр.6</t>
  </si>
  <si>
    <t>телефон исполнителя</t>
  </si>
  <si>
    <t>гр. 14.1. меньше либо равна гр.14</t>
  </si>
  <si>
    <t>гр. 14.2. меньше либо равна гр.14</t>
  </si>
  <si>
    <t>гр. 17.1. меньше либо равна гр.17</t>
  </si>
  <si>
    <t>гр. 17.2. меньше либо равна гр.17</t>
  </si>
  <si>
    <t>гр. 18.1. меньше либо равна гр.18</t>
  </si>
  <si>
    <t>гр. 19.1. меньше либо равна гр.19</t>
  </si>
  <si>
    <t>гр. 20.1. меньше либо равна гр.20</t>
  </si>
  <si>
    <t>гр. 6. меньше либо равна гр.5</t>
  </si>
  <si>
    <t>гр. 7. меньше либо равна гр.6</t>
  </si>
  <si>
    <t>гр. 8. меньше либо равна гр.6</t>
  </si>
  <si>
    <t xml:space="preserve">Сведения о диспансеризации  взрослого населения </t>
  </si>
  <si>
    <t>Национальный проект "Здравоохранение"      Развитие системы первичной медико -санитарной помощи</t>
  </si>
  <si>
    <r>
      <t xml:space="preserve">заполняется </t>
    </r>
    <r>
      <rPr>
        <b/>
        <sz val="14"/>
        <color indexed="10"/>
        <rFont val="Times New Roman"/>
        <family val="1"/>
        <charset val="204"/>
      </rPr>
      <t xml:space="preserve"> ЕЖЕНЕДЕЛЬНО </t>
    </r>
  </si>
  <si>
    <t>Контингенты</t>
  </si>
  <si>
    <t>№</t>
  </si>
  <si>
    <r>
      <t xml:space="preserve">Осмотрено </t>
    </r>
    <r>
      <rPr>
        <b/>
        <sz val="14"/>
        <color indexed="10"/>
        <rFont val="Times New Roman"/>
        <family val="1"/>
        <charset val="204"/>
      </rPr>
      <t>(завершили 1 этап)</t>
    </r>
  </si>
  <si>
    <t>из них сельских жителей</t>
  </si>
  <si>
    <r>
      <t>Число</t>
    </r>
    <r>
      <rPr>
        <b/>
        <sz val="14"/>
        <color indexed="10"/>
        <rFont val="Times New Roman"/>
        <family val="1"/>
        <charset val="204"/>
      </rPr>
      <t xml:space="preserve"> ГРАЖДАН</t>
    </r>
    <r>
      <rPr>
        <b/>
        <sz val="14"/>
        <rFont val="Times New Roman"/>
        <family val="1"/>
        <charset val="204"/>
      </rPr>
      <t xml:space="preserve">,      у которых в ходе  диспансериз. </t>
    </r>
    <r>
      <rPr>
        <b/>
        <u/>
        <sz val="15"/>
        <rFont val="Times New Roman"/>
        <family val="1"/>
        <charset val="204"/>
      </rPr>
      <t>ВПЕРВЫЕ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выявлены неинфекцион. заболевания </t>
    </r>
    <r>
      <rPr>
        <b/>
        <sz val="14"/>
        <color indexed="10"/>
        <rFont val="Times New Roman"/>
        <family val="1"/>
        <charset val="204"/>
      </rPr>
      <t>ВСЕГО</t>
    </r>
  </si>
  <si>
    <r>
      <rPr>
        <b/>
        <u/>
        <sz val="14"/>
        <rFont val="Times New Roman"/>
        <family val="1"/>
        <charset val="204"/>
      </rPr>
      <t>Число впервые выявлен. заболеваний</t>
    </r>
    <r>
      <rPr>
        <b/>
        <sz val="14"/>
        <rFont val="Times New Roman"/>
        <family val="1"/>
        <charset val="204"/>
      </rPr>
      <t xml:space="preserve"> в ходе диспансериз. </t>
    </r>
    <r>
      <rPr>
        <b/>
        <sz val="14"/>
        <color indexed="10"/>
        <rFont val="Times New Roman"/>
        <family val="1"/>
        <charset val="204"/>
      </rPr>
      <t>ВСЕГО</t>
    </r>
  </si>
  <si>
    <r>
      <t>Из числа ГРАЖДАН, у которых выявлены неинфекц. заболевания</t>
    </r>
    <r>
      <rPr>
        <b/>
        <sz val="14"/>
        <color indexed="10"/>
        <rFont val="Times New Roman"/>
        <family val="1"/>
        <charset val="204"/>
      </rPr>
      <t xml:space="preserve">         </t>
    </r>
    <r>
      <rPr>
        <b/>
        <sz val="16"/>
        <color indexed="10"/>
        <rFont val="Times New Roman"/>
        <family val="1"/>
        <charset val="204"/>
      </rPr>
      <t xml:space="preserve">  (из гр. 9)</t>
    </r>
    <r>
      <rPr>
        <b/>
        <sz val="14"/>
        <rFont val="Times New Roman"/>
        <family val="1"/>
        <charset val="204"/>
      </rPr>
      <t xml:space="preserve">, </t>
    </r>
    <r>
      <rPr>
        <b/>
        <sz val="14"/>
        <color indexed="10"/>
        <rFont val="Times New Roman"/>
        <family val="1"/>
        <charset val="204"/>
      </rPr>
      <t>взяты на диспансерное наблюдение</t>
    </r>
  </si>
  <si>
    <r>
      <t xml:space="preserve">Из числа ГРАЖДАН, у которых впервые выявлены неинфекц. заболевания 
</t>
    </r>
    <r>
      <rPr>
        <b/>
        <sz val="14"/>
        <color indexed="10"/>
        <rFont val="Times New Roman"/>
        <family val="1"/>
        <charset val="204"/>
      </rPr>
      <t>(из гр.9)</t>
    </r>
    <r>
      <rPr>
        <b/>
        <sz val="14"/>
        <rFont val="Times New Roman"/>
        <family val="1"/>
        <charset val="204"/>
      </rPr>
      <t>,</t>
    </r>
    <r>
      <rPr>
        <b/>
        <sz val="14"/>
        <color indexed="10"/>
        <rFont val="Times New Roman"/>
        <family val="1"/>
        <charset val="204"/>
      </rPr>
      <t xml:space="preserve"> было начато лечение</t>
    </r>
  </si>
  <si>
    <r>
      <t xml:space="preserve">из них сельских жителей 
</t>
    </r>
    <r>
      <rPr>
        <b/>
        <sz val="14"/>
        <color indexed="10"/>
        <rFont val="Times New Roman"/>
        <family val="1"/>
        <charset val="204"/>
      </rPr>
      <t>(из гр. 19)</t>
    </r>
  </si>
  <si>
    <r>
      <t>в вечернее время           (после 18:00)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</si>
  <si>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r>
      <t xml:space="preserve"> в субботу </t>
    </r>
    <r>
      <rPr>
        <b/>
        <sz val="14"/>
        <color indexed="10"/>
        <rFont val="Times New Roman"/>
        <family val="1"/>
        <charset val="204"/>
      </rPr>
      <t>(из гр.2)</t>
    </r>
  </si>
  <si>
    <r>
      <t xml:space="preserve">Количество граждан, прошедших 1 этап диспансеризации в день обращения (прошедших ВСЕ ИССЛЕДОВАНИЯ за  один день) </t>
    </r>
    <r>
      <rPr>
        <b/>
        <sz val="14"/>
        <color rgb="FFFF0000"/>
        <rFont val="Times New Roman"/>
        <family val="1"/>
        <charset val="204"/>
      </rPr>
      <t>(из гр.2)</t>
    </r>
  </si>
  <si>
    <r>
      <t xml:space="preserve">всего            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</si>
  <si>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r>
      <t xml:space="preserve">в вечернее время           (после 18:00) </t>
    </r>
    <r>
      <rPr>
        <b/>
        <sz val="14"/>
        <color indexed="10"/>
        <rFont val="Times New Roman"/>
        <family val="1"/>
        <charset val="204"/>
      </rPr>
      <t>(из гр. 6)</t>
    </r>
  </si>
  <si>
    <r>
      <t xml:space="preserve"> в субботу </t>
    </r>
    <r>
      <rPr>
        <b/>
        <sz val="14"/>
        <color indexed="10"/>
        <rFont val="Times New Roman"/>
        <family val="1"/>
        <charset val="204"/>
      </rPr>
      <t>(из гр. 6)</t>
    </r>
  </si>
  <si>
    <t>БОЛЕЗНИ СИСТЕМЫ КРОВОБРАЩЕНИЯ</t>
  </si>
  <si>
    <t>ЗЛОКАЧЕСТВЕН. НОВООБРАЗОВАНИЯ</t>
  </si>
  <si>
    <r>
      <t xml:space="preserve">в том числе в I и П стадиях              </t>
    </r>
    <r>
      <rPr>
        <b/>
        <sz val="14"/>
        <color indexed="10"/>
        <rFont val="Times New Roman"/>
        <family val="1"/>
        <charset val="204"/>
      </rPr>
      <t xml:space="preserve"> (из гр. 11)</t>
    </r>
  </si>
  <si>
    <t>САХАРНЫЙ ДИАБЕТ</t>
  </si>
  <si>
    <r>
      <rPr>
        <sz val="14"/>
        <color indexed="10"/>
        <rFont val="Times New Roman"/>
        <family val="1"/>
        <charset val="204"/>
      </rPr>
      <t>в т.ч.</t>
    </r>
    <r>
      <rPr>
        <sz val="14"/>
        <rFont val="Times New Roman"/>
        <family val="1"/>
        <charset val="204"/>
      </rPr>
      <t xml:space="preserve"> сахарный диабет 1 типа</t>
    </r>
  </si>
  <si>
    <t>ГЛАУКОМА</t>
  </si>
  <si>
    <t>ХРОНИЧЕСКИЕ БОЛЕЗНИ ОРГАНОВ ДЫХАНИЯ</t>
  </si>
  <si>
    <t>БОЛЕЗНИ ОРГАНОВ ПИЩЕВАРЕНИЯ</t>
  </si>
  <si>
    <t>Число лиц, прошедших диспансеризацию в т.ч.:</t>
  </si>
  <si>
    <t>1.</t>
  </si>
  <si>
    <t>гр.2  больше либо равна гр 3+ гр.4</t>
  </si>
  <si>
    <t xml:space="preserve"> 1.1</t>
  </si>
  <si>
    <t>гр.2  больше либо равна гр.6</t>
  </si>
  <si>
    <t xml:space="preserve"> 1.2</t>
  </si>
  <si>
    <t xml:space="preserve">гр.6  больше либо равна гр. 7+ гр.8
</t>
  </si>
  <si>
    <t xml:space="preserve">
гр. 10 больше либо равна сумме граф 11+12+14+16+17+18 по всем строкам</t>
  </si>
  <si>
    <t xml:space="preserve">гр.19 меньше либо равна гр.9 по всем строкам
</t>
  </si>
  <si>
    <t xml:space="preserve">гр.20 меньше либо равна гр.9 по всем строкам
</t>
  </si>
  <si>
    <t xml:space="preserve">гр.9 меньше либо равна гр.10
</t>
  </si>
  <si>
    <t>гр.21 меньше либо равна гр.19 по всем строкам</t>
  </si>
  <si>
    <t xml:space="preserve">гр.3 больше либо равна гр.7
</t>
  </si>
  <si>
    <t xml:space="preserve">гр. 4 больше либо равна гр.8 по всем строкам
</t>
  </si>
  <si>
    <t xml:space="preserve">гр.12 больше либо равна гр.13 по всем строкам
</t>
  </si>
  <si>
    <t xml:space="preserve">гр. 14 больше либо равна гр.15 по всем строкам
</t>
  </si>
  <si>
    <t>гр5 меньше или равнв гр2 по всем строкам</t>
  </si>
  <si>
    <t>Сведения о профилактических осмотрах взрослого населения</t>
  </si>
  <si>
    <r>
      <t xml:space="preserve">Осмотрено </t>
    </r>
    <r>
      <rPr>
        <b/>
        <sz val="14"/>
        <color indexed="10"/>
        <rFont val="Times New Roman"/>
        <family val="1"/>
        <charset val="204"/>
      </rPr>
      <t>(завершили)</t>
    </r>
  </si>
  <si>
    <r>
      <t>Число</t>
    </r>
    <r>
      <rPr>
        <b/>
        <sz val="14"/>
        <color indexed="10"/>
        <rFont val="Times New Roman"/>
        <family val="1"/>
        <charset val="204"/>
      </rPr>
      <t xml:space="preserve"> ГРАЖДАН</t>
    </r>
    <r>
      <rPr>
        <b/>
        <sz val="14"/>
        <rFont val="Times New Roman"/>
        <family val="1"/>
        <charset val="204"/>
      </rPr>
      <t xml:space="preserve">,      у которых при профосмотрах </t>
    </r>
    <r>
      <rPr>
        <b/>
        <u/>
        <sz val="15"/>
        <rFont val="Times New Roman"/>
        <family val="1"/>
        <charset val="204"/>
      </rPr>
      <t>впервые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выявлены неинфекцион. заболевания </t>
    </r>
    <r>
      <rPr>
        <b/>
        <sz val="14"/>
        <color indexed="10"/>
        <rFont val="Times New Roman"/>
        <family val="1"/>
        <charset val="204"/>
      </rPr>
      <t>ВСЕГО</t>
    </r>
  </si>
  <si>
    <r>
      <t xml:space="preserve">число ГРАЖДАН, у которых </t>
    </r>
    <r>
      <rPr>
        <b/>
        <sz val="14"/>
        <color indexed="10"/>
        <rFont val="Times New Roman"/>
        <family val="1"/>
        <charset val="204"/>
      </rPr>
      <t>впервые</t>
    </r>
    <r>
      <rPr>
        <b/>
        <sz val="14"/>
        <color indexed="8"/>
        <rFont val="Times New Roman"/>
        <family val="1"/>
        <charset val="204"/>
      </rPr>
      <t xml:space="preserve"> выявлены (из гр. 8):</t>
    </r>
    <r>
      <rPr>
        <b/>
        <sz val="14"/>
        <color indexed="10"/>
        <rFont val="Times New Roman"/>
        <family val="1"/>
        <charset val="204"/>
      </rPr>
      <t>*</t>
    </r>
  </si>
  <si>
    <r>
      <t>Из числа ГРАЖДАН,   у которых выявлены неинфекц. заболевания</t>
    </r>
    <r>
      <rPr>
        <b/>
        <sz val="14"/>
        <color indexed="10"/>
        <rFont val="Times New Roman"/>
        <family val="1"/>
        <charset val="204"/>
      </rPr>
      <t xml:space="preserve">           (из гр.9)</t>
    </r>
    <r>
      <rPr>
        <b/>
        <sz val="14"/>
        <rFont val="Times New Roman"/>
        <family val="1"/>
        <charset val="204"/>
      </rPr>
      <t xml:space="preserve">, </t>
    </r>
    <r>
      <rPr>
        <b/>
        <u/>
        <sz val="14"/>
        <color indexed="10"/>
        <rFont val="Times New Roman"/>
        <family val="1"/>
        <charset val="204"/>
      </rPr>
      <t>взяты на диспансерное наблюдение</t>
    </r>
  </si>
  <si>
    <r>
      <t xml:space="preserve">Из числа ГРАЖДАН,    у которых впервые выявлены неинфекц. заболевания 
</t>
    </r>
    <r>
      <rPr>
        <b/>
        <sz val="14"/>
        <color indexed="10"/>
        <rFont val="Times New Roman"/>
        <family val="1"/>
        <charset val="204"/>
      </rPr>
      <t>(из гр. 9)</t>
    </r>
    <r>
      <rPr>
        <b/>
        <sz val="14"/>
        <rFont val="Times New Roman"/>
        <family val="1"/>
        <charset val="204"/>
      </rPr>
      <t>,</t>
    </r>
    <r>
      <rPr>
        <b/>
        <u/>
        <sz val="14"/>
        <color indexed="10"/>
        <rFont val="Times New Roman"/>
        <family val="1"/>
        <charset val="204"/>
      </rPr>
      <t xml:space="preserve"> было начато лечение</t>
    </r>
  </si>
  <si>
    <r>
      <t xml:space="preserve">Количество граждан, прошедших профосмотр в день обращения (прошедших ВСЕ ИССЛЕДОВАНИЯ за  один день) </t>
    </r>
    <r>
      <rPr>
        <b/>
        <sz val="14"/>
        <color rgb="FFFF0000"/>
        <rFont val="Times New Roman"/>
        <family val="1"/>
        <charset val="204"/>
      </rPr>
      <t>(из гр.2)</t>
    </r>
  </si>
  <si>
    <r>
      <t xml:space="preserve">всего                 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</si>
  <si>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t xml:space="preserve">Число лиц, прошедших профосмотр </t>
  </si>
  <si>
    <t xml:space="preserve">гр.2  больше либо равна гр.6
</t>
  </si>
  <si>
    <t xml:space="preserve">гр.6  больше либо равна гр 7+ гр8
</t>
  </si>
  <si>
    <t xml:space="preserve">гр. 10 больше либо равна сумме граф 11+12+14+16+17+18
</t>
  </si>
  <si>
    <t xml:space="preserve">гр.19 меньше либо равна гр.9
</t>
  </si>
  <si>
    <t>гр.9 меньше либо равна гр.10</t>
  </si>
  <si>
    <t xml:space="preserve">гр.3  больше либо равна гр.7
</t>
  </si>
  <si>
    <t xml:space="preserve">гр.4  больше либо равна гр8
</t>
  </si>
  <si>
    <t xml:space="preserve">гр.20 меньше либо равна гр.9
</t>
  </si>
  <si>
    <t>гр.21 меньше либо равна гр.9</t>
  </si>
  <si>
    <t xml:space="preserve">гр.12 больше либо равна гр.13
</t>
  </si>
  <si>
    <t xml:space="preserve">гр. 14 больше либо равна гр.15
</t>
  </si>
  <si>
    <t>гр21 меньше или равнв гр6</t>
  </si>
  <si>
    <t>Показатель  нацпроекта</t>
  </si>
  <si>
    <t>Доля впервые в жизни установленных неинфекционных  заболеваний (ХНИЗ), выявленных при проведении диспансеризации и профилактическом медицинском осмотре у взрослого населения, от общего числа ХНИЗ с впервые установленным диагнозом, %</t>
  </si>
  <si>
    <r>
      <rPr>
        <b/>
        <sz val="12"/>
        <rFont val="Times New Roman"/>
        <family val="1"/>
        <charset val="204"/>
      </rPr>
      <t>заполняется</t>
    </r>
    <r>
      <rPr>
        <b/>
        <sz val="12"/>
        <color indexed="10"/>
        <rFont val="Times New Roman"/>
        <family val="1"/>
        <charset val="204"/>
      </rPr>
      <t xml:space="preserve"> ЕЖЕНЕДЕЛЬНО</t>
    </r>
  </si>
  <si>
    <t>Нозологии</t>
  </si>
  <si>
    <t>впервые выявлено при ДВН</t>
  </si>
  <si>
    <t>впервые выявлено при профосмотре</t>
  </si>
  <si>
    <t>всего выявлено при ДВН и профосмотрах</t>
  </si>
  <si>
    <r>
      <t xml:space="preserve">число зарегистр. заболеваний  с впервые в жизни установл. диагнозом            </t>
    </r>
    <r>
      <rPr>
        <b/>
        <sz val="12"/>
        <color rgb="FFFF0000"/>
        <rFont val="Times New Roman"/>
        <family val="1"/>
        <charset val="204"/>
      </rPr>
      <t>гр. 9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indexed="10"/>
        <rFont val="Times New Roman"/>
        <family val="1"/>
        <charset val="204"/>
      </rPr>
      <t>форма№12 (т.3000)</t>
    </r>
  </si>
  <si>
    <t>Доля впервые в жизни установл. (ХНИЗ) от общего числа ХНИЗ с впервые установл.диагнозом, %</t>
  </si>
  <si>
    <t>графа 5 по всем строкам должна быть больше либо равна графе 4 всем строкам</t>
  </si>
  <si>
    <t>Сахарный диабет (всего)</t>
  </si>
  <si>
    <r>
      <rPr>
        <b/>
        <i/>
        <sz val="12"/>
        <color indexed="10"/>
        <rFont val="Times New Roman"/>
        <family val="1"/>
        <charset val="204"/>
      </rPr>
      <t>в т.ч.</t>
    </r>
    <r>
      <rPr>
        <b/>
        <i/>
        <sz val="12"/>
        <rFont val="Times New Roman"/>
        <family val="1"/>
        <charset val="204"/>
      </rPr>
      <t xml:space="preserve"> сахарный диабет 1 типа</t>
    </r>
  </si>
  <si>
    <r>
      <rPr>
        <b/>
        <i/>
        <sz val="12"/>
        <color indexed="10"/>
        <rFont val="Times New Roman"/>
        <family val="1"/>
        <charset val="204"/>
      </rPr>
      <t>в т.ч.</t>
    </r>
    <r>
      <rPr>
        <b/>
        <i/>
        <sz val="12"/>
        <rFont val="Times New Roman"/>
        <family val="1"/>
        <charset val="204"/>
      </rPr>
      <t xml:space="preserve"> сахарный диабет 2 типа</t>
    </r>
  </si>
  <si>
    <t>Сведения о числе граждан, прошедших периодические и предварительные осмотры в 2021 году</t>
  </si>
  <si>
    <t>(нарастающим итогом)</t>
  </si>
  <si>
    <t>Подлежало осмотрам(в т.ч муж.)</t>
  </si>
  <si>
    <t>Подлежало осмотрам(жен.)</t>
  </si>
  <si>
    <t>Осмотрено(в т.ч муж.)</t>
  </si>
  <si>
    <t>Осмотрено(жен.)</t>
  </si>
  <si>
    <t>Вид осмотров</t>
  </si>
  <si>
    <t>№ стр.</t>
  </si>
  <si>
    <t>Наименование контингентов</t>
  </si>
  <si>
    <t>Подлежало осмотрам</t>
  </si>
  <si>
    <t>Осмотрено</t>
  </si>
  <si>
    <r>
      <t>из числа осмотренных (</t>
    </r>
    <r>
      <rPr>
        <b/>
        <sz val="12"/>
        <color indexed="10"/>
        <rFont val="Times New Roman"/>
        <family val="1"/>
        <charset val="204"/>
      </rPr>
      <t>из гр.4)</t>
    </r>
    <r>
      <rPr>
        <b/>
        <sz val="12"/>
        <color indexed="8"/>
        <rFont val="Times New Roman"/>
        <family val="1"/>
        <charset val="204"/>
      </rPr>
      <t xml:space="preserve"> определены группы здоровья</t>
    </r>
  </si>
  <si>
    <r>
      <t xml:space="preserve">из числа осмотренных всего  </t>
    </r>
    <r>
      <rPr>
        <b/>
        <sz val="12"/>
        <color indexed="10"/>
        <rFont val="Times New Roman"/>
        <family val="1"/>
        <charset val="204"/>
      </rPr>
      <t>(из гр.4)</t>
    </r>
    <r>
      <rPr>
        <b/>
        <sz val="12"/>
        <rFont val="Times New Roman"/>
        <family val="1"/>
        <charset val="204"/>
      </rPr>
      <t>:</t>
    </r>
  </si>
  <si>
    <t>в т.ч. сельские жители            (из гр.3)</t>
  </si>
  <si>
    <t>в т.ч муж. (из гр.3)</t>
  </si>
  <si>
    <t>жен.           (из гр.3)</t>
  </si>
  <si>
    <t>в т.ч. сельские жители        (из гр.4)</t>
  </si>
  <si>
    <t>в т.ч муж.              (из гр.4)</t>
  </si>
  <si>
    <t>жен.                 (из гр.4)</t>
  </si>
  <si>
    <t>II группа</t>
  </si>
  <si>
    <r>
      <t>III</t>
    </r>
    <r>
      <rPr>
        <sz val="12"/>
        <color indexed="10"/>
        <rFont val="Times New Roman"/>
        <family val="1"/>
        <charset val="204"/>
      </rPr>
      <t xml:space="preserve"> a</t>
    </r>
    <r>
      <rPr>
        <sz val="12"/>
        <rFont val="Times New Roman"/>
        <family val="1"/>
        <charset val="204"/>
      </rPr>
      <t xml:space="preserve"> группа </t>
    </r>
  </si>
  <si>
    <r>
      <t xml:space="preserve">III </t>
    </r>
    <r>
      <rPr>
        <sz val="12"/>
        <color indexed="10"/>
        <rFont val="Times New Roman"/>
        <family val="1"/>
        <charset val="204"/>
      </rPr>
      <t>б</t>
    </r>
    <r>
      <rPr>
        <sz val="12"/>
        <rFont val="Times New Roman"/>
        <family val="1"/>
        <charset val="204"/>
      </rPr>
      <t xml:space="preserve"> группа</t>
    </r>
  </si>
  <si>
    <t>выявлено подозрений на профессион. заболевание</t>
  </si>
  <si>
    <t>не имели медицинских противопоказ. к работе</t>
  </si>
  <si>
    <t>имели временные /постоянные противопоказ.   к работе</t>
  </si>
  <si>
    <t>нуждаются в дополнит.обслед. в центре профпатологии</t>
  </si>
  <si>
    <t>нуждаются в амбулаторном /стационарном обследовании и лечении</t>
  </si>
  <si>
    <t>3.1.</t>
  </si>
  <si>
    <t>3.2.</t>
  </si>
  <si>
    <t>3.3.</t>
  </si>
  <si>
    <t>4.1.</t>
  </si>
  <si>
    <t>4.5</t>
  </si>
  <si>
    <t>4.6</t>
  </si>
  <si>
    <t>4.6.1</t>
  </si>
  <si>
    <t>4.6.2</t>
  </si>
  <si>
    <t>Периодические осмотры</t>
  </si>
  <si>
    <t>графа 4 равна сумме граф 6 и 7</t>
  </si>
  <si>
    <t>из них старше трудоспособного возраста</t>
  </si>
  <si>
    <t>гр. 5 меньше гр.4</t>
  </si>
  <si>
    <t>из них раб.занят.на тяж.раб.и на раб.с вредн.и опасн.услов.труд.</t>
  </si>
  <si>
    <t>гр. 8 меньше гр.4</t>
  </si>
  <si>
    <t>декретированные контингенты</t>
  </si>
  <si>
    <t>гр. 8 меньше либо равна гр.5</t>
  </si>
  <si>
    <t>Предварительные осмотры</t>
  </si>
  <si>
    <t>гр. 9 меньше гр.4</t>
  </si>
  <si>
    <t>гр. 3.1. меньше либо равна гр.3</t>
  </si>
  <si>
    <t>гр.4 = сумме граф 4.2+4.3</t>
  </si>
  <si>
    <t>гр.4 = сумме граф  4.4+4.5+4.6</t>
  </si>
  <si>
    <t>Всего: периодические и предварительные</t>
  </si>
  <si>
    <t>стр.1 равна или больше стр.3 +стр. 4 по всем графам</t>
  </si>
  <si>
    <t>стр.5 равна или больше стр.7 +стр. 8 по всем графам</t>
  </si>
  <si>
    <t>таб.2516</t>
  </si>
  <si>
    <t>подлежало осмотрам</t>
  </si>
  <si>
    <t>осмотрено</t>
  </si>
  <si>
    <t>выявлено подозрений на прфессиональное заболевание</t>
  </si>
  <si>
    <t>не имели медицинских противопоказаний к работе</t>
  </si>
  <si>
    <t>имели временные /постоянные противопоказания к работе</t>
  </si>
  <si>
    <t>нуждаются в дополнит.обследовании в центре профпатологии</t>
  </si>
  <si>
    <t/>
  </si>
  <si>
    <t>9</t>
  </si>
  <si>
    <t xml:space="preserve">всего                                                              </t>
  </si>
  <si>
    <t>таб.2510</t>
  </si>
  <si>
    <t>из них:              сельских жителей</t>
  </si>
  <si>
    <t>из них:             сельских жителей</t>
  </si>
  <si>
    <r>
      <t>из числа осмотренных    (гр 5):         определены группы здоровья -</t>
    </r>
    <r>
      <rPr>
        <b/>
        <sz val="12"/>
        <color theme="1"/>
        <rFont val="Times New Roman"/>
        <family val="1"/>
        <charset val="204"/>
      </rPr>
      <t xml:space="preserve"> I</t>
    </r>
  </si>
  <si>
    <r>
      <t xml:space="preserve">из числа осмотренных    (гр 5):   определены группы здоровья - </t>
    </r>
    <r>
      <rPr>
        <b/>
        <sz val="12"/>
        <color theme="1"/>
        <rFont val="Times New Roman"/>
        <family val="1"/>
        <charset val="204"/>
      </rPr>
      <t>II</t>
    </r>
  </si>
  <si>
    <r>
      <t xml:space="preserve">из числа осмотренных (гр 5):   определены группы здоровья </t>
    </r>
    <r>
      <rPr>
        <b/>
        <sz val="12"/>
        <color theme="1"/>
        <rFont val="Times New Roman"/>
        <family val="1"/>
        <charset val="204"/>
      </rPr>
      <t>- III</t>
    </r>
  </si>
  <si>
    <t>из них: III А</t>
  </si>
  <si>
    <t>из них: III Б</t>
  </si>
  <si>
    <r>
      <t>из числа осмотренных (гр 5): определены группы здоровья -</t>
    </r>
    <r>
      <rPr>
        <b/>
        <sz val="12"/>
        <color theme="1"/>
        <rFont val="Times New Roman"/>
        <family val="1"/>
        <charset val="204"/>
      </rPr>
      <t xml:space="preserve"> IV</t>
    </r>
  </si>
  <si>
    <r>
      <t>из числа осмотренных    (гр 5):  определены группы здоровья -</t>
    </r>
    <r>
      <rPr>
        <b/>
        <sz val="12"/>
        <color theme="1"/>
        <rFont val="Times New Roman"/>
        <family val="1"/>
        <charset val="204"/>
      </rPr>
      <t>V</t>
    </r>
  </si>
  <si>
    <t>12</t>
  </si>
  <si>
    <t>001</t>
  </si>
  <si>
    <t xml:space="preserve">Дети в возрасте 0-14 лет вкл.                                     </t>
  </si>
  <si>
    <t>002</t>
  </si>
  <si>
    <t>из них дети до 1 года</t>
  </si>
  <si>
    <t>003</t>
  </si>
  <si>
    <t>Дети 15-17 лет вкл.</t>
  </si>
  <si>
    <t>004</t>
  </si>
  <si>
    <t>из общего числа детей 15-17 лет(стр03)-юношей</t>
  </si>
  <si>
    <t>005</t>
  </si>
  <si>
    <t>Школьники(из суммы стр1+3)</t>
  </si>
  <si>
    <t>006</t>
  </si>
  <si>
    <t>Континг. взр.населения (18л.и старше)-всего</t>
  </si>
  <si>
    <t>х</t>
  </si>
  <si>
    <t>061</t>
  </si>
  <si>
    <t>профосмотры взрослых</t>
  </si>
  <si>
    <t>предварительные и периодич.</t>
  </si>
  <si>
    <t>062</t>
  </si>
  <si>
    <t>диспансеризация определ.групп взрослого населения</t>
  </si>
  <si>
    <t>621</t>
  </si>
  <si>
    <t>007</t>
  </si>
  <si>
    <t>всего  (сумма стр 1,3,6)</t>
  </si>
  <si>
    <r>
      <t>Сведения о числе граждан, прошедших периодические и предварительные осмотры в 2021 году</t>
    </r>
    <r>
      <rPr>
        <b/>
        <i/>
        <sz val="15"/>
        <rFont val="Times New Roman"/>
        <family val="1"/>
        <charset val="204"/>
      </rPr>
      <t xml:space="preserve">  </t>
    </r>
    <r>
      <rPr>
        <b/>
        <i/>
        <sz val="15"/>
        <color rgb="FFFF0000"/>
        <rFont val="Times New Roman"/>
        <family val="1"/>
        <charset val="204"/>
      </rPr>
      <t>(старше трудоспособн.)</t>
    </r>
  </si>
  <si>
    <r>
      <t>Число</t>
    </r>
    <r>
      <rPr>
        <b/>
        <sz val="14"/>
        <color indexed="10"/>
        <rFont val="Times New Roman"/>
        <family val="1"/>
        <charset val="204"/>
      </rPr>
      <t xml:space="preserve"> ГРАЖДАН</t>
    </r>
    <r>
      <rPr>
        <b/>
        <sz val="14"/>
        <rFont val="Times New Roman"/>
        <family val="1"/>
        <charset val="204"/>
      </rPr>
      <t xml:space="preserve">,      у которых в ходе  диспансериз. </t>
    </r>
    <r>
      <rPr>
        <b/>
        <u/>
        <sz val="15"/>
        <rFont val="Times New Roman"/>
        <family val="1"/>
        <charset val="204"/>
      </rPr>
      <t>впервые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выявлены неинфекцион. заболевания </t>
    </r>
    <r>
      <rPr>
        <b/>
        <sz val="14"/>
        <color indexed="10"/>
        <rFont val="Times New Roman"/>
        <family val="1"/>
        <charset val="204"/>
      </rPr>
      <t>ВСЕГО</t>
    </r>
  </si>
  <si>
    <r>
      <t>Из числа ГРАЖДАН,   у которых выявлены неинфекц. заболевания</t>
    </r>
    <r>
      <rPr>
        <b/>
        <sz val="14"/>
        <color indexed="10"/>
        <rFont val="Times New Roman"/>
        <family val="1"/>
        <charset val="204"/>
      </rPr>
      <t xml:space="preserve">           (из гр. 8)</t>
    </r>
    <r>
      <rPr>
        <b/>
        <sz val="14"/>
        <rFont val="Times New Roman"/>
        <family val="1"/>
        <charset val="204"/>
      </rPr>
      <t xml:space="preserve">, </t>
    </r>
    <r>
      <rPr>
        <b/>
        <u/>
        <sz val="14"/>
        <color indexed="10"/>
        <rFont val="Times New Roman"/>
        <family val="1"/>
        <charset val="204"/>
      </rPr>
      <t>взяты на диспансерное наблюдение</t>
    </r>
  </si>
  <si>
    <r>
      <t xml:space="preserve">Из числа ГРАЖДАН,    у которых впервые выявлены неинфекц. заболевания 
</t>
    </r>
    <r>
      <rPr>
        <b/>
        <sz val="14"/>
        <color indexed="10"/>
        <rFont val="Times New Roman"/>
        <family val="1"/>
        <charset val="204"/>
      </rPr>
      <t>(из гр. 8)</t>
    </r>
    <r>
      <rPr>
        <b/>
        <sz val="14"/>
        <rFont val="Times New Roman"/>
        <family val="1"/>
        <charset val="204"/>
      </rPr>
      <t>,</t>
    </r>
    <r>
      <rPr>
        <b/>
        <u/>
        <sz val="14"/>
        <color indexed="10"/>
        <rFont val="Times New Roman"/>
        <family val="1"/>
        <charset val="204"/>
      </rPr>
      <t xml:space="preserve"> было начато лечение</t>
    </r>
  </si>
  <si>
    <r>
      <t xml:space="preserve">из них сельских жителей 
</t>
    </r>
    <r>
      <rPr>
        <b/>
        <sz val="14"/>
        <color indexed="10"/>
        <rFont val="Times New Roman"/>
        <family val="1"/>
        <charset val="204"/>
      </rPr>
      <t>(из гр. 18)</t>
    </r>
  </si>
  <si>
    <r>
      <t xml:space="preserve">в вечернее время           (после 18:00) </t>
    </r>
    <r>
      <rPr>
        <b/>
        <sz val="14"/>
        <color indexed="10"/>
        <rFont val="Times New Roman"/>
        <family val="1"/>
        <charset val="204"/>
      </rPr>
      <t>(из гр. 5)</t>
    </r>
  </si>
  <si>
    <r>
      <t xml:space="preserve"> в субботу </t>
    </r>
    <r>
      <rPr>
        <b/>
        <sz val="14"/>
        <color indexed="10"/>
        <rFont val="Times New Roman"/>
        <family val="1"/>
        <charset val="204"/>
      </rPr>
      <t>(из гр. 5)</t>
    </r>
  </si>
  <si>
    <t>Всего в том числе:</t>
  </si>
  <si>
    <r>
      <t xml:space="preserve">лица старше трудоспособного возраста </t>
    </r>
    <r>
      <rPr>
        <b/>
        <sz val="15"/>
        <rFont val="Times New Roman"/>
        <family val="1"/>
        <charset val="204"/>
      </rPr>
      <t>(</t>
    </r>
    <r>
      <rPr>
        <sz val="15"/>
        <rFont val="Times New Roman"/>
        <family val="1"/>
        <charset val="204"/>
      </rPr>
      <t>из табл.период и предварит.осмотры</t>
    </r>
    <r>
      <rPr>
        <b/>
        <sz val="15"/>
        <rFont val="Times New Roman"/>
        <family val="1"/>
        <charset val="204"/>
      </rPr>
      <t>)</t>
    </r>
  </si>
  <si>
    <t>гр.2  больше либо равна гр.5</t>
  </si>
  <si>
    <t>гр.5  больше либо равна гр 6+ гр7</t>
  </si>
  <si>
    <t xml:space="preserve">
гр.9 больше либо равна сумме граф 10+11+13+15+16+17 по всем строкам</t>
  </si>
  <si>
    <t>гр.18 меньше либо равна гр.8 по всем строкам</t>
  </si>
  <si>
    <t>гр.8 меньше либо равна гр.9</t>
  </si>
  <si>
    <t>гр.3  больше либо равна гр.6</t>
  </si>
  <si>
    <t>гр.4  больше либо равна гр.7</t>
  </si>
  <si>
    <t>гр.19 меньше либо равна гр.8 по всем строкам</t>
  </si>
  <si>
    <t>гр.20 меньше либо равна гр.18 по всем строкам</t>
  </si>
  <si>
    <t>гр.11 больше либо равна гр.12 по всем строкам</t>
  </si>
  <si>
    <t>гр. 13 больше либо равна гр.14 по всем строкам</t>
  </si>
  <si>
    <t>СТРОКА 9 может быть меньше или равна строке 8 по всем графам</t>
  </si>
  <si>
    <t>число заболеваний м.б. больше числа граждан: гр.9 м.б. больше или равна гр. 8 по всем строкам</t>
  </si>
  <si>
    <t>данные гр.20 не м.б. больше данных гр.5 по соотв. строкам</t>
  </si>
  <si>
    <t>Сервис - Параметры - Безопасность- Безопасность макросов - Низкая</t>
  </si>
  <si>
    <t>по группам здоровья всего</t>
  </si>
  <si>
    <t>по группам здоровья трудоспособного возраста</t>
  </si>
  <si>
    <t>старше трудоспособного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</si>
  <si>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</si>
  <si>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</si>
  <si>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</si>
  <si>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</si>
  <si>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</si>
  <si>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</si>
  <si>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в возрасте 18-34</t>
  </si>
  <si>
    <t>в возрасте 35-39</t>
  </si>
  <si>
    <t>в возрасте 40-54</t>
  </si>
  <si>
    <t>в возрасте 55-59</t>
  </si>
  <si>
    <t>в возрасте 60-64</t>
  </si>
  <si>
    <t>в возрасте 65-74</t>
  </si>
  <si>
    <t>в возрасте 75 и старше</t>
  </si>
  <si>
    <r>
      <rPr>
        <b/>
        <sz val="14"/>
        <color indexed="8"/>
        <rFont val="Times New Roman"/>
        <family val="1"/>
        <charset val="204"/>
      </rPr>
      <t xml:space="preserve">в т.ч. лица старше трудоспособ. возраста  </t>
    </r>
    <r>
      <rPr>
        <sz val="14"/>
        <color indexed="8"/>
        <rFont val="Times New Roman"/>
        <family val="1"/>
        <charset val="204"/>
      </rPr>
      <t xml:space="preserve">            (56 лет и старше у  женщин и старше 61 года у мужчин)        </t>
    </r>
    <r>
      <rPr>
        <sz val="14"/>
        <color indexed="10"/>
        <rFont val="Times New Roman"/>
        <family val="1"/>
        <charset val="204"/>
      </rPr>
      <t xml:space="preserve"> (из гр.5)</t>
    </r>
  </si>
  <si>
    <r>
      <rPr>
        <b/>
        <sz val="14"/>
        <color indexed="8"/>
        <rFont val="Times New Roman"/>
        <family val="1"/>
        <charset val="204"/>
      </rPr>
      <t>в т.ч. лица старше трудоспособ. возраста              (56 лет и старше у  женщин и старше 61 года у мужчин)</t>
    </r>
    <r>
      <rPr>
        <sz val="14"/>
        <color indexed="10"/>
        <rFont val="Times New Roman"/>
        <family val="1"/>
        <charset val="204"/>
      </rPr>
      <t xml:space="preserve">    (из гр.1)</t>
    </r>
  </si>
  <si>
    <t xml:space="preserve">ВСЕГО                                          (план) </t>
  </si>
  <si>
    <t xml:space="preserve"> в т.ч. лица старше трудоспособ. возраста              (56 лет и старше у  женщин и старше 61 года у мужчин) (из стр.1 )</t>
  </si>
  <si>
    <t xml:space="preserve"> 1.9</t>
  </si>
  <si>
    <t xml:space="preserve">Граждане 65 лет  и старше </t>
  </si>
  <si>
    <t>данные по строке 2.1 д.б. больше или равны суммы строк (2.2.+2.4+2.6+2.8+2.10+2.12+2.14+2.16+2.18+2.21+2.24) по всем графам</t>
  </si>
  <si>
    <t>строка 2 д.б больше или равна строке 2.1</t>
  </si>
  <si>
    <t>данные по строке 9  должны быть больше или равны по соотв.графам  суммы строк(9.1+9.2+9.3+9.4)</t>
  </si>
  <si>
    <t>данные по строке 10.1  должны быть больше или равны по соотв.графам  суммы строк(10.1.1+10.1.2+10.1.3)</t>
  </si>
  <si>
    <t>строка 11.0 д.б больше или равна строке 11.1</t>
  </si>
  <si>
    <t>данные по строке 3 должны быть больше или равны по соотв.графам строки 3.1</t>
  </si>
  <si>
    <t>данные по строке 4 должны быть больше или равны по соотв.графам строки 4.1 и больше или равны суммы строк(4.1+4.3+4.4)</t>
  </si>
  <si>
    <t>данные по строке 5 должны быть больше или равны по соотв.графам строки 5.1</t>
  </si>
  <si>
    <t>данные по строке 6 должны быть больше или равны по соотв.графам суммы строк(6.1+6.2+6.3)</t>
  </si>
  <si>
    <t>данные по строке 7  должны быть больше или равны по соотв.графам суммы строк(7.1+7.2+7.4+7.6)</t>
  </si>
  <si>
    <t>данные по строке 8  должны быть больше или равны по соотв.графам  суммы строк(8.1+8.2+8.3)</t>
  </si>
  <si>
    <t>гр.1  больше либо равна гр.2 по строкам 1-1.9</t>
  </si>
  <si>
    <t>гр.5    по строкам 1-1.8  должна быть меньше либо равна гр 2 по строкам 1-1.8</t>
  </si>
  <si>
    <t>2.0</t>
  </si>
  <si>
    <t>контрольные цифры</t>
  </si>
  <si>
    <t>данные по гр.21  меньше либо равны гр.6 по строкам 1-1.1.9</t>
  </si>
  <si>
    <t xml:space="preserve">гр.6 должны быть меньше или равны графам 2 по строкам 1-1.8 </t>
  </si>
  <si>
    <t xml:space="preserve">гр.7 должны быть меньше или равны графам 3 по строкам 1-1.8 </t>
  </si>
  <si>
    <t xml:space="preserve">гр.8 должны быть меньше или равны графам 4 по строкам 1-1.8 </t>
  </si>
  <si>
    <t>данные по строке 2.2 должны быть  меньше либо равны данным по строке 1.9 по всем графам, кроме тех, что содержат кресты</t>
  </si>
  <si>
    <t>Из числа  (из гр. 9), взятых на диспансерное наблюдение</t>
  </si>
  <si>
    <t>Из числа  (из гр.19), взятых на диспансерное наблюдение</t>
  </si>
  <si>
    <t>Еженедельный отчёт</t>
  </si>
  <si>
    <t>Ежемесячный отчёт</t>
  </si>
  <si>
    <t>14.0</t>
  </si>
  <si>
    <t>15.0</t>
  </si>
  <si>
    <t>Данные строки 14.0 с 8 по13 графы должны быть равны строке 15.0 по тем же графам</t>
  </si>
  <si>
    <t>данные стр.1 по графе 2 должны быть равны сумме строк с 1.1 по 1.7 по данной графе</t>
  </si>
  <si>
    <t>данные стр.1 по графе 6 должны быть равны сумме строк  с 1.1 по 1.7 по данной графе</t>
  </si>
  <si>
    <t>данные по строке 2.0 должны быть меньше или равны данных по строке 1.0 по графам с 11 по 18</t>
  </si>
  <si>
    <t>данные по графе 2 стр.1 должны быть равны сумме строк с 1.1 по 1.5 по данной графе</t>
  </si>
  <si>
    <t>данные по графе 6 стр.1 должны быть равны сумме строк с 1.1 по 1.5 по данной графе</t>
  </si>
  <si>
    <t>Клиника семейной медицины ФГБОУ ВО ВолгГМУ Минздрава России</t>
  </si>
  <si>
    <t>в том числ при ДВН</t>
  </si>
  <si>
    <t>в  трудоспособном возрасте</t>
  </si>
  <si>
    <t>старше трудоспособного возраста (из стр.1.9 )</t>
  </si>
  <si>
    <r>
      <t>число ГРАЖДАН, у которых</t>
    </r>
    <r>
      <rPr>
        <b/>
        <sz val="14"/>
        <color rgb="FFFF0000"/>
        <rFont val="Times New Roman"/>
        <family val="1"/>
        <charset val="204"/>
      </rPr>
      <t xml:space="preserve"> ВПЕРВЫЕ </t>
    </r>
    <r>
      <rPr>
        <b/>
        <sz val="14"/>
        <color indexed="8"/>
        <rFont val="Times New Roman"/>
        <family val="1"/>
        <charset val="204"/>
      </rPr>
      <t>выявлены (из гр. 9):</t>
    </r>
    <r>
      <rPr>
        <b/>
        <sz val="14"/>
        <color indexed="10"/>
        <rFont val="Times New Roman"/>
        <family val="1"/>
        <charset val="204"/>
      </rPr>
      <t>*</t>
    </r>
  </si>
  <si>
    <r>
      <t xml:space="preserve">число ГРАЖДАН, у которых </t>
    </r>
    <r>
      <rPr>
        <b/>
        <sz val="14"/>
        <color indexed="10"/>
        <rFont val="Times New Roman"/>
        <family val="1"/>
        <charset val="204"/>
      </rPr>
      <t>впервые</t>
    </r>
    <r>
      <rPr>
        <b/>
        <sz val="14"/>
        <color indexed="8"/>
        <rFont val="Times New Roman"/>
        <family val="1"/>
        <charset val="204"/>
      </rPr>
      <t xml:space="preserve"> выявлены (из гр. 9):</t>
    </r>
    <r>
      <rPr>
        <b/>
        <sz val="14"/>
        <color indexed="10"/>
        <rFont val="Times New Roman"/>
        <family val="1"/>
        <charset val="204"/>
      </rPr>
      <t>*</t>
    </r>
  </si>
  <si>
    <t>Число граждан, у которых выявлены факторы риска</t>
  </si>
  <si>
    <t>Новое!</t>
  </si>
  <si>
    <t>Заполните только желтые поля</t>
  </si>
  <si>
    <t xml:space="preserve"> просьба не ставить ноли при отсутствии значения</t>
  </si>
  <si>
    <t>Сумма строк  с 1 по 4 по графе 6 должна быть меньше графы 1 табл.(1001)</t>
  </si>
  <si>
    <t>6.2.1</t>
  </si>
  <si>
    <t>с применением мобильных бригад</t>
  </si>
  <si>
    <t>20.0</t>
  </si>
  <si>
    <t>доставлено маломобильных граждан старше 60 лет из удаленных пунктов, перенесших тяжелое и ср.тяжелое течение Covid, для проведения диспансеризации</t>
  </si>
  <si>
    <t xml:space="preserve">(6006)   Общее число мобильных медицинских бригад, принимавших участие в проведении профилактического медицинского осмотра, диспансеризации </t>
  </si>
  <si>
    <t xml:space="preserve">(6007)   Общее число лиц, профилактический медицинский осмотр или первый этап диспансеризация которых были проведены мобильными медицинскими бригадами </t>
  </si>
  <si>
    <t xml:space="preserve">Сумма строк с 1.1. по 1.4. по графе 2 </t>
  </si>
  <si>
    <t>должна быть меньше или равна  гр.1 таблицы (1001)</t>
  </si>
  <si>
    <t>Главный врач</t>
  </si>
  <si>
    <t>Тридубова Надежда Александровна</t>
  </si>
  <si>
    <t>Беспалов Владислав Владимирович</t>
  </si>
  <si>
    <t>89047542538</t>
  </si>
  <si>
    <t>crb_nehaevka@volganet.ru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</si>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</sst>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.0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vertAlign val="superscript"/>
      <sz val="12"/>
      <color indexed="30"/>
      <name val="Times New Roman"/>
      <family val="1"/>
      <charset val="204"/>
    </font>
    <font>
      <sz val="16"/>
      <color indexed="3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ourier New"/>
      <family val="3"/>
      <charset val="204"/>
    </font>
    <font>
      <b/>
      <sz val="11"/>
      <color rgb="FF26282F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8"/>
      <color rgb="FF26282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u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4"/>
      <color indexed="10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Calibri"/>
      <family val="2"/>
      <scheme val="minor"/>
    </font>
    <font>
      <b/>
      <sz val="10"/>
      <name val="Arial Cyr"/>
      <charset val="204"/>
    </font>
    <font>
      <b/>
      <sz val="13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5"/>
      <name val="Times New Roman"/>
      <family val="1"/>
      <charset val="204"/>
    </font>
    <font>
      <b/>
      <i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3"/>
      <color rgb="FFFF0000"/>
      <name val="Calibri"/>
      <family val="2"/>
      <scheme val="minor"/>
    </font>
    <font>
      <b/>
      <sz val="22"/>
      <color rgb="FF00B050"/>
      <name val="Verdana"/>
      <family val="2"/>
      <charset val="204"/>
    </font>
    <font>
      <b/>
      <sz val="22"/>
      <color theme="6" tint="-0.499984740745262"/>
      <name val="Verdana"/>
      <family val="2"/>
      <charset val="204"/>
    </font>
    <font>
      <sz val="11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indexed="8"/>
      <name val="Cambria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indexed="10"/>
      <name val="Cambria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BE7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F4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39" fillId="0" borderId="0"/>
    <xf numFmtId="0" fontId="13" fillId="0" borderId="0"/>
    <xf numFmtId="0" fontId="2" fillId="0" borderId="0"/>
    <xf numFmtId="0" fontId="1" fillId="0" borderId="0"/>
  </cellStyleXfs>
  <cellXfs count="1037">
    <xf numFmtId="0" fontId="0" fillId="0" borderId="0" xfId="0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49" fontId="19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 indent="1"/>
    </xf>
    <xf numFmtId="0" fontId="19" fillId="5" borderId="4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justify" vertical="center"/>
    </xf>
    <xf numFmtId="0" fontId="19" fillId="0" borderId="4" xfId="0" applyFont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left" vertical="center" wrapText="1" inden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justify" vertical="center" wrapText="1"/>
    </xf>
    <xf numFmtId="0" fontId="20" fillId="5" borderId="1" xfId="0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right" vertical="center"/>
    </xf>
    <xf numFmtId="49" fontId="19" fillId="0" borderId="6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right" vertical="center"/>
    </xf>
    <xf numFmtId="0" fontId="10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/>
    </xf>
    <xf numFmtId="0" fontId="19" fillId="5" borderId="4" xfId="0" applyFont="1" applyFill="1" applyBorder="1" applyAlignment="1">
      <alignment horizontal="right" vertical="center" wrapText="1"/>
    </xf>
    <xf numFmtId="0" fontId="19" fillId="5" borderId="3" xfId="0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6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5" borderId="6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righ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9" fillId="0" borderId="4" xfId="0" applyFont="1" applyFill="1" applyBorder="1" applyAlignment="1">
      <alignment horizontal="centerContinuous" vertical="center" wrapText="1"/>
    </xf>
    <xf numFmtId="0" fontId="19" fillId="0" borderId="3" xfId="0" applyFont="1" applyFill="1" applyBorder="1" applyAlignment="1">
      <alignment horizontal="centerContinuous" vertical="center" wrapText="1"/>
    </xf>
    <xf numFmtId="0" fontId="0" fillId="0" borderId="1" xfId="0" applyFill="1" applyBorder="1" applyAlignment="1">
      <alignment horizontal="centerContinuous" vertical="center"/>
    </xf>
    <xf numFmtId="0" fontId="19" fillId="0" borderId="6" xfId="0" applyFont="1" applyFill="1" applyBorder="1" applyAlignment="1">
      <alignment horizontal="centerContinuous" vertical="center" wrapText="1"/>
    </xf>
    <xf numFmtId="0" fontId="19" fillId="0" borderId="1" xfId="0" applyFont="1" applyFill="1" applyBorder="1" applyAlignment="1">
      <alignment horizontal="centerContinuous" vertical="center" wrapText="1"/>
    </xf>
    <xf numFmtId="0" fontId="19" fillId="0" borderId="2" xfId="0" applyFont="1" applyFill="1" applyBorder="1" applyAlignment="1">
      <alignment horizontal="centerContinuous" vertical="center" wrapText="1"/>
    </xf>
    <xf numFmtId="0" fontId="19" fillId="0" borderId="8" xfId="0" applyFont="1" applyFill="1" applyBorder="1" applyAlignment="1">
      <alignment horizontal="centerContinuous" vertical="center" wrapText="1"/>
    </xf>
    <xf numFmtId="0" fontId="10" fillId="0" borderId="9" xfId="0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 inden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 indent="1"/>
    </xf>
    <xf numFmtId="0" fontId="19" fillId="0" borderId="2" xfId="0" applyFont="1" applyFill="1" applyBorder="1" applyAlignment="1">
      <alignment horizontal="left" vertical="center" wrapText="1" inden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Continuous" vertical="center"/>
    </xf>
    <xf numFmtId="0" fontId="19" fillId="6" borderId="4" xfId="0" applyFont="1" applyFill="1" applyBorder="1" applyAlignment="1">
      <alignment horizontal="centerContinuous" vertical="center" wrapText="1"/>
    </xf>
    <xf numFmtId="0" fontId="19" fillId="6" borderId="6" xfId="0" applyFont="1" applyFill="1" applyBorder="1" applyAlignment="1">
      <alignment horizontal="centerContinuous" vertical="center" wrapText="1"/>
    </xf>
    <xf numFmtId="0" fontId="19" fillId="6" borderId="2" xfId="0" applyFont="1" applyFill="1" applyBorder="1" applyAlignment="1">
      <alignment horizontal="centerContinuous" vertical="center" wrapText="1"/>
    </xf>
    <xf numFmtId="0" fontId="19" fillId="6" borderId="3" xfId="0" applyFont="1" applyFill="1" applyBorder="1" applyAlignment="1">
      <alignment horizontal="centerContinuous" vertical="center" wrapText="1"/>
    </xf>
    <xf numFmtId="0" fontId="0" fillId="6" borderId="1" xfId="0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Alignment="1">
      <alignment vertical="center" wrapText="1"/>
    </xf>
    <xf numFmtId="0" fontId="19" fillId="0" borderId="0" xfId="0" applyFont="1" applyFill="1"/>
    <xf numFmtId="49" fontId="21" fillId="0" borderId="0" xfId="0" applyNumberFormat="1" applyFont="1" applyFill="1" applyAlignment="1">
      <alignment horizontal="right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27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 indent="1"/>
    </xf>
    <xf numFmtId="0" fontId="19" fillId="0" borderId="0" xfId="0" applyFont="1" applyFill="1" applyAlignment="1">
      <alignment horizontal="justify" vertical="center"/>
    </xf>
    <xf numFmtId="0" fontId="19" fillId="6" borderId="20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49" fontId="29" fillId="0" borderId="0" xfId="0" applyNumberFormat="1" applyFont="1" applyFill="1" applyAlignment="1">
      <alignment horizontal="right" vertical="center"/>
    </xf>
    <xf numFmtId="0" fontId="20" fillId="0" borderId="0" xfId="0" applyFont="1" applyFill="1"/>
    <xf numFmtId="0" fontId="26" fillId="0" borderId="23" xfId="0" applyFont="1" applyFill="1" applyBorder="1" applyAlignment="1"/>
    <xf numFmtId="0" fontId="30" fillId="0" borderId="17" xfId="0" applyFont="1" applyFill="1" applyBorder="1" applyAlignment="1">
      <alignment horizontal="left" vertical="center" wrapText="1" indent="1"/>
    </xf>
    <xf numFmtId="0" fontId="30" fillId="0" borderId="17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/>
    <xf numFmtId="0" fontId="26" fillId="0" borderId="0" xfId="0" applyFont="1" applyFill="1" applyAlignment="1">
      <alignment textRotation="90"/>
    </xf>
    <xf numFmtId="49" fontId="22" fillId="0" borderId="0" xfId="0" applyNumberFormat="1" applyFont="1" applyFill="1" applyAlignment="1">
      <alignment horizontal="right" vertical="center"/>
    </xf>
    <xf numFmtId="0" fontId="22" fillId="0" borderId="0" xfId="0" applyFont="1" applyFill="1"/>
    <xf numFmtId="0" fontId="30" fillId="0" borderId="6" xfId="0" applyFont="1" applyFill="1" applyBorder="1" applyAlignment="1">
      <alignment horizontal="left" vertical="center" wrapText="1" indent="1"/>
    </xf>
    <xf numFmtId="0" fontId="30" fillId="0" borderId="2" xfId="0" applyFont="1" applyFill="1" applyBorder="1" applyAlignment="1">
      <alignment horizontal="left" vertical="center" wrapText="1" indent="1"/>
    </xf>
    <xf numFmtId="0" fontId="30" fillId="0" borderId="4" xfId="0" applyFont="1" applyFill="1" applyBorder="1" applyAlignment="1">
      <alignment horizontal="left" vertical="center" wrapText="1" indent="1"/>
    </xf>
    <xf numFmtId="49" fontId="20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15" fillId="0" borderId="0" xfId="0" applyFont="1" applyAlignment="1"/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1" fillId="0" borderId="0" xfId="0" applyFont="1" applyFill="1" applyAlignment="1">
      <alignment vertical="center" wrapText="1"/>
    </xf>
    <xf numFmtId="49" fontId="23" fillId="0" borderId="0" xfId="0" applyNumberFormat="1" applyFont="1" applyFill="1" applyAlignment="1">
      <alignment horizontal="right" vertical="center"/>
    </xf>
    <xf numFmtId="0" fontId="19" fillId="0" borderId="3" xfId="0" applyFont="1" applyFill="1" applyBorder="1" applyAlignment="1"/>
    <xf numFmtId="0" fontId="19" fillId="0" borderId="8" xfId="0" applyFont="1" applyFill="1" applyBorder="1" applyAlignment="1"/>
    <xf numFmtId="0" fontId="19" fillId="0" borderId="1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horizontal="left" vertical="center" wrapText="1" inden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 indent="1"/>
    </xf>
    <xf numFmtId="0" fontId="20" fillId="0" borderId="1" xfId="0" applyFont="1" applyFill="1" applyBorder="1" applyAlignment="1">
      <alignment horizontal="left" vertical="center" wrapText="1" indent="1"/>
    </xf>
    <xf numFmtId="0" fontId="20" fillId="0" borderId="5" xfId="0" applyFont="1" applyFill="1" applyBorder="1" applyAlignment="1">
      <alignment horizontal="left" vertical="center" wrapText="1" indent="1"/>
    </xf>
    <xf numFmtId="0" fontId="19" fillId="0" borderId="25" xfId="0" applyFont="1" applyFill="1" applyBorder="1" applyAlignment="1"/>
    <xf numFmtId="0" fontId="30" fillId="0" borderId="0" xfId="0" applyFont="1" applyFill="1"/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5" borderId="1" xfId="0" applyFont="1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9" fillId="5" borderId="8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 applyProtection="1">
      <protection hidden="1"/>
    </xf>
    <xf numFmtId="0" fontId="0" fillId="0" borderId="0" xfId="0" applyProtection="1"/>
    <xf numFmtId="0" fontId="31" fillId="0" borderId="0" xfId="0" applyFont="1" applyAlignment="1" applyProtection="1">
      <alignment horizontal="right" vertical="center"/>
    </xf>
    <xf numFmtId="0" fontId="17" fillId="0" borderId="0" xfId="1" applyAlignment="1" applyProtection="1">
      <alignment horizontal="right" vertical="center"/>
    </xf>
    <xf numFmtId="0" fontId="19" fillId="0" borderId="0" xfId="0" applyFont="1" applyBorder="1" applyAlignment="1" applyProtection="1">
      <alignment horizontal="justify" vertical="center" wrapText="1"/>
    </xf>
    <xf numFmtId="0" fontId="19" fillId="0" borderId="0" xfId="0" applyFont="1" applyAlignment="1" applyProtection="1">
      <alignment horizontal="justify" vertical="center"/>
    </xf>
    <xf numFmtId="0" fontId="19" fillId="0" borderId="26" xfId="0" applyFont="1" applyBorder="1" applyAlignment="1" applyProtection="1">
      <alignment horizontal="justify" vertical="center" wrapText="1"/>
    </xf>
    <xf numFmtId="0" fontId="19" fillId="0" borderId="6" xfId="0" applyFont="1" applyBorder="1" applyAlignment="1" applyProtection="1">
      <alignment vertical="center" wrapText="1"/>
    </xf>
    <xf numFmtId="0" fontId="19" fillId="0" borderId="3" xfId="0" applyFont="1" applyBorder="1" applyAlignment="1" applyProtection="1">
      <alignment vertical="center" wrapText="1"/>
    </xf>
    <xf numFmtId="0" fontId="17" fillId="0" borderId="3" xfId="1" applyBorder="1" applyAlignment="1" applyProtection="1">
      <alignment horizontal="centerContinuous" vertical="center" wrapText="1"/>
    </xf>
    <xf numFmtId="0" fontId="19" fillId="0" borderId="4" xfId="0" applyFont="1" applyBorder="1" applyAlignment="1" applyProtection="1">
      <alignment horizontal="centerContinuous" vertical="center" wrapText="1"/>
    </xf>
    <xf numFmtId="0" fontId="19" fillId="0" borderId="1" xfId="0" applyFont="1" applyBorder="1" applyAlignment="1" applyProtection="1">
      <alignment horizontal="center" vertical="center" wrapText="1"/>
    </xf>
    <xf numFmtId="49" fontId="3" fillId="0" borderId="27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2" fillId="0" borderId="28" xfId="0" applyFont="1" applyFill="1" applyBorder="1" applyProtection="1"/>
    <xf numFmtId="0" fontId="32" fillId="0" borderId="0" xfId="0" applyFont="1" applyProtection="1"/>
    <xf numFmtId="0" fontId="15" fillId="0" borderId="0" xfId="0" applyFont="1" applyAlignment="1" applyProtection="1">
      <alignment horizontal="left" vertical="center" wrapText="1"/>
    </xf>
    <xf numFmtId="0" fontId="25" fillId="0" borderId="0" xfId="0" applyFont="1" applyProtection="1"/>
    <xf numFmtId="0" fontId="15" fillId="0" borderId="29" xfId="0" applyFont="1" applyBorder="1" applyAlignment="1" applyProtection="1"/>
    <xf numFmtId="0" fontId="25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Border="1" applyAlignment="1" applyProtection="1"/>
    <xf numFmtId="0" fontId="0" fillId="7" borderId="0" xfId="0" applyFill="1"/>
    <xf numFmtId="0" fontId="20" fillId="6" borderId="4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  <protection hidden="1"/>
    </xf>
    <xf numFmtId="0" fontId="30" fillId="5" borderId="17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left" vertical="center" wrapText="1" indent="1"/>
    </xf>
    <xf numFmtId="0" fontId="20" fillId="6" borderId="17" xfId="0" applyNumberFormat="1" applyFont="1" applyFill="1" applyBorder="1" applyAlignment="1" applyProtection="1">
      <alignment horizontal="center" vertical="center" wrapText="1"/>
    </xf>
    <xf numFmtId="1" fontId="14" fillId="5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17" xfId="0" applyFont="1" applyBorder="1" applyAlignment="1">
      <alignment horizontal="left" vertical="center" wrapText="1" indent="1"/>
    </xf>
    <xf numFmtId="0" fontId="14" fillId="0" borderId="17" xfId="0" applyFont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37" fillId="8" borderId="17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6" fillId="5" borderId="17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40" fillId="0" borderId="40" xfId="2" applyFont="1" applyFill="1" applyBorder="1" applyAlignment="1">
      <alignment horizontal="left" vertical="center" wrapText="1"/>
    </xf>
    <xf numFmtId="0" fontId="26" fillId="8" borderId="17" xfId="0" applyFont="1" applyFill="1" applyBorder="1" applyAlignment="1">
      <alignment horizontal="right" vertical="center"/>
    </xf>
    <xf numFmtId="0" fontId="26" fillId="0" borderId="36" xfId="0" applyFont="1" applyBorder="1" applyAlignment="1">
      <alignment horizontal="right" vertical="center"/>
    </xf>
    <xf numFmtId="0" fontId="19" fillId="5" borderId="17" xfId="0" applyFont="1" applyFill="1" applyBorder="1" applyAlignment="1">
      <alignment horizontal="right" vertical="center"/>
    </xf>
    <xf numFmtId="0" fontId="16" fillId="0" borderId="40" xfId="2" applyFont="1" applyFill="1" applyBorder="1" applyAlignment="1">
      <alignment horizontal="left" vertical="center" wrapText="1"/>
    </xf>
    <xf numFmtId="0" fontId="26" fillId="9" borderId="17" xfId="0" applyFont="1" applyFill="1" applyBorder="1" applyAlignment="1">
      <alignment horizontal="right" vertical="center"/>
    </xf>
    <xf numFmtId="0" fontId="26" fillId="9" borderId="36" xfId="0" applyFont="1" applyFill="1" applyBorder="1" applyAlignment="1">
      <alignment horizontal="right" vertical="center"/>
    </xf>
    <xf numFmtId="0" fontId="21" fillId="0" borderId="41" xfId="0" applyFont="1" applyBorder="1" applyAlignment="1">
      <alignment horizontal="left" vertical="center" wrapText="1" indent="1"/>
    </xf>
    <xf numFmtId="0" fontId="36" fillId="8" borderId="17" xfId="0" applyFont="1" applyFill="1" applyBorder="1" applyAlignment="1">
      <alignment horizontal="right" vertical="center"/>
    </xf>
    <xf numFmtId="0" fontId="42" fillId="0" borderId="0" xfId="0" applyFont="1" applyAlignment="1" applyProtection="1">
      <alignment vertical="center" wrapText="1"/>
    </xf>
    <xf numFmtId="0" fontId="26" fillId="0" borderId="0" xfId="0" applyFont="1" applyProtection="1"/>
    <xf numFmtId="0" fontId="36" fillId="0" borderId="0" xfId="0" applyFont="1" applyAlignment="1" applyProtection="1">
      <alignment wrapText="1"/>
    </xf>
    <xf numFmtId="0" fontId="36" fillId="0" borderId="0" xfId="0" applyFont="1" applyProtection="1"/>
    <xf numFmtId="0" fontId="43" fillId="0" borderId="0" xfId="0" applyFont="1" applyAlignment="1" applyProtection="1">
      <alignment horizontal="right"/>
    </xf>
    <xf numFmtId="0" fontId="43" fillId="0" borderId="0" xfId="0" applyFont="1" applyProtection="1"/>
    <xf numFmtId="0" fontId="26" fillId="0" borderId="0" xfId="0" applyFont="1" applyAlignment="1" applyProtection="1">
      <alignment wrapText="1"/>
    </xf>
    <xf numFmtId="0" fontId="26" fillId="0" borderId="0" xfId="0" applyFont="1" applyBorder="1" applyProtection="1"/>
    <xf numFmtId="0" fontId="45" fillId="0" borderId="0" xfId="0" applyFont="1" applyBorder="1" applyAlignment="1" applyProtection="1">
      <alignment vertical="center"/>
    </xf>
    <xf numFmtId="0" fontId="20" fillId="8" borderId="3" xfId="0" applyFont="1" applyFill="1" applyBorder="1" applyAlignment="1" applyProtection="1">
      <alignment horizontal="center" vertical="center" wrapText="1"/>
    </xf>
    <xf numFmtId="0" fontId="14" fillId="8" borderId="3" xfId="0" applyFont="1" applyFill="1" applyBorder="1" applyAlignment="1" applyProtection="1">
      <alignment horizontal="center" vertical="top" wrapText="1"/>
    </xf>
    <xf numFmtId="0" fontId="23" fillId="8" borderId="10" xfId="0" applyFont="1" applyFill="1" applyBorder="1" applyAlignment="1" applyProtection="1">
      <alignment horizontal="center" vertical="center" wrapText="1"/>
    </xf>
    <xf numFmtId="0" fontId="23" fillId="13" borderId="10" xfId="0" applyFont="1" applyFill="1" applyBorder="1" applyAlignment="1" applyProtection="1">
      <alignment horizontal="center" vertical="center" wrapText="1"/>
    </xf>
    <xf numFmtId="0" fontId="23" fillId="14" borderId="9" xfId="0" applyFont="1" applyFill="1" applyBorder="1" applyAlignment="1" applyProtection="1">
      <alignment horizontal="center" vertical="center" wrapText="1"/>
    </xf>
    <xf numFmtId="0" fontId="23" fillId="14" borderId="10" xfId="0" applyFont="1" applyFill="1" applyBorder="1" applyAlignment="1" applyProtection="1">
      <alignment horizontal="center" vertical="center" wrapText="1"/>
    </xf>
    <xf numFmtId="0" fontId="51" fillId="0" borderId="6" xfId="0" applyFont="1" applyFill="1" applyBorder="1" applyAlignment="1" applyProtection="1">
      <alignment horizontal="center" vertical="center" wrapText="1"/>
    </xf>
    <xf numFmtId="49" fontId="52" fillId="0" borderId="6" xfId="0" applyNumberFormat="1" applyFont="1" applyFill="1" applyBorder="1" applyAlignment="1" applyProtection="1">
      <alignment horizontal="center" vertical="center" wrapText="1"/>
    </xf>
    <xf numFmtId="0" fontId="51" fillId="8" borderId="6" xfId="0" applyFont="1" applyFill="1" applyBorder="1" applyAlignment="1" applyProtection="1">
      <alignment horizontal="center" vertical="center" wrapText="1"/>
    </xf>
    <xf numFmtId="49" fontId="51" fillId="0" borderId="6" xfId="0" applyNumberFormat="1" applyFont="1" applyFill="1" applyBorder="1" applyAlignment="1" applyProtection="1">
      <alignment horizontal="center" vertical="center" wrapText="1"/>
    </xf>
    <xf numFmtId="0" fontId="52" fillId="0" borderId="6" xfId="0" applyFont="1" applyFill="1" applyBorder="1" applyAlignment="1" applyProtection="1">
      <alignment horizontal="center" vertical="center" wrapText="1"/>
    </xf>
    <xf numFmtId="49" fontId="5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3" fillId="15" borderId="1" xfId="0" applyFont="1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3" fillId="8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13" borderId="1" xfId="0" applyFont="1" applyFill="1" applyBorder="1" applyAlignment="1" applyProtection="1">
      <alignment horizontal="center" vertical="center"/>
    </xf>
    <xf numFmtId="0" fontId="23" fillId="14" borderId="1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hidden="1"/>
    </xf>
    <xf numFmtId="0" fontId="53" fillId="16" borderId="0" xfId="0" applyFont="1" applyFill="1" applyAlignment="1">
      <alignment wrapText="1"/>
    </xf>
    <xf numFmtId="0" fontId="54" fillId="0" borderId="0" xfId="0" applyFont="1" applyAlignment="1" applyProtection="1"/>
    <xf numFmtId="0" fontId="26" fillId="0" borderId="0" xfId="0" applyFont="1" applyAlignment="1" applyProtection="1">
      <alignment horizontal="center"/>
    </xf>
    <xf numFmtId="0" fontId="47" fillId="0" borderId="0" xfId="0" applyFont="1" applyAlignment="1" applyProtection="1">
      <alignment horizontal="center"/>
    </xf>
    <xf numFmtId="0" fontId="55" fillId="0" borderId="0" xfId="0" applyFont="1" applyFill="1" applyBorder="1" applyAlignment="1" applyProtection="1">
      <protection locked="0"/>
    </xf>
    <xf numFmtId="0" fontId="26" fillId="0" borderId="0" xfId="0" applyFont="1" applyFill="1" applyBorder="1" applyProtection="1"/>
    <xf numFmtId="0" fontId="56" fillId="0" borderId="0" xfId="0" applyFont="1" applyFill="1" applyBorder="1" applyProtection="1"/>
    <xf numFmtId="0" fontId="0" fillId="0" borderId="0" xfId="0" applyFill="1" applyBorder="1"/>
    <xf numFmtId="0" fontId="26" fillId="0" borderId="0" xfId="0" applyFont="1" applyFill="1" applyProtection="1"/>
    <xf numFmtId="0" fontId="26" fillId="0" borderId="0" xfId="0" applyFont="1" applyFill="1" applyBorder="1" applyAlignment="1" applyProtection="1">
      <protection locked="0"/>
    </xf>
    <xf numFmtId="0" fontId="56" fillId="0" borderId="0" xfId="0" applyFont="1" applyFill="1" applyBorder="1" applyAlignment="1" applyProtection="1">
      <protection locked="0"/>
    </xf>
    <xf numFmtId="164" fontId="0" fillId="0" borderId="0" xfId="0" applyNumberFormat="1" applyFill="1" applyAlignment="1" applyProtection="1">
      <alignment wrapText="1"/>
      <protection hidden="1"/>
    </xf>
    <xf numFmtId="164" fontId="0" fillId="0" borderId="0" xfId="0" applyNumberFormat="1" applyAlignment="1" applyProtection="1">
      <alignment wrapText="1"/>
      <protection hidden="1"/>
    </xf>
    <xf numFmtId="0" fontId="23" fillId="0" borderId="0" xfId="0" applyFont="1" applyFill="1" applyBorder="1" applyAlignment="1" applyProtection="1">
      <alignment horizontal="left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18" borderId="22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 applyProtection="1">
      <alignment horizontal="center" vertical="center" wrapText="1"/>
      <protection hidden="1"/>
    </xf>
    <xf numFmtId="0" fontId="63" fillId="16" borderId="0" xfId="0" applyFont="1" applyFill="1" applyAlignment="1">
      <alignment horizontal="center" vertical="center" wrapText="1"/>
    </xf>
    <xf numFmtId="0" fontId="21" fillId="0" borderId="0" xfId="0" applyFont="1" applyAlignment="1"/>
    <xf numFmtId="0" fontId="35" fillId="0" borderId="0" xfId="0" applyFont="1"/>
    <xf numFmtId="0" fontId="0" fillId="0" borderId="0" xfId="0" applyFill="1" applyAlignment="1" applyProtection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47" fillId="8" borderId="33" xfId="0" applyFont="1" applyFill="1" applyBorder="1" applyAlignment="1">
      <alignment horizontal="center" vertical="center"/>
    </xf>
    <xf numFmtId="1" fontId="60" fillId="0" borderId="8" xfId="0" applyNumberFormat="1" applyFont="1" applyBorder="1" applyAlignment="1">
      <alignment horizontal="center" vertical="center" wrapText="1"/>
    </xf>
    <xf numFmtId="0" fontId="67" fillId="4" borderId="54" xfId="0" applyFont="1" applyFill="1" applyBorder="1" applyAlignment="1" applyProtection="1">
      <alignment horizontal="center" vertical="center" wrapText="1"/>
      <protection hidden="1"/>
    </xf>
    <xf numFmtId="0" fontId="67" fillId="4" borderId="17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21" fillId="13" borderId="7" xfId="0" applyFont="1" applyFill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21" fillId="20" borderId="38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21" fillId="21" borderId="1" xfId="0" applyNumberFormat="1" applyFont="1" applyFill="1" applyBorder="1" applyAlignment="1">
      <alignment horizontal="center" vertical="center" wrapText="1"/>
    </xf>
    <xf numFmtId="0" fontId="69" fillId="0" borderId="59" xfId="0" applyFont="1" applyBorder="1" applyAlignment="1">
      <alignment horizontal="center" vertical="center"/>
    </xf>
    <xf numFmtId="0" fontId="69" fillId="0" borderId="24" xfId="0" applyFont="1" applyBorder="1" applyAlignment="1">
      <alignment horizontal="center" vertical="center" wrapText="1"/>
    </xf>
    <xf numFmtId="0" fontId="69" fillId="20" borderId="64" xfId="0" applyFont="1" applyFill="1" applyBorder="1" applyAlignment="1">
      <alignment horizontal="center" vertical="center" wrapText="1"/>
    </xf>
    <xf numFmtId="0" fontId="69" fillId="0" borderId="8" xfId="0" applyFont="1" applyBorder="1" applyAlignment="1">
      <alignment horizontal="center" vertical="center" wrapText="1"/>
    </xf>
    <xf numFmtId="0" fontId="70" fillId="0" borderId="0" xfId="0" applyFont="1"/>
    <xf numFmtId="0" fontId="45" fillId="13" borderId="32" xfId="0" applyFont="1" applyFill="1" applyBorder="1" applyAlignment="1">
      <alignment horizontal="left" vertical="center" wrapText="1"/>
    </xf>
    <xf numFmtId="0" fontId="45" fillId="13" borderId="19" xfId="0" applyFont="1" applyFill="1" applyBorder="1" applyAlignment="1">
      <alignment horizontal="left" vertical="center" wrapText="1"/>
    </xf>
    <xf numFmtId="0" fontId="71" fillId="13" borderId="19" xfId="0" applyFont="1" applyFill="1" applyBorder="1" applyAlignment="1">
      <alignment horizontal="left" vertical="center" wrapText="1"/>
    </xf>
    <xf numFmtId="0" fontId="71" fillId="13" borderId="63" xfId="0" applyFont="1" applyFill="1" applyBorder="1" applyAlignment="1">
      <alignment horizontal="left" vertical="center" wrapText="1"/>
    </xf>
    <xf numFmtId="0" fontId="45" fillId="20" borderId="7" xfId="0" applyFont="1" applyFill="1" applyBorder="1" applyAlignment="1">
      <alignment horizontal="center" vertical="center" wrapText="1"/>
    </xf>
    <xf numFmtId="1" fontId="21" fillId="20" borderId="37" xfId="0" applyNumberFormat="1" applyFont="1" applyFill="1" applyBorder="1" applyAlignment="1">
      <alignment horizontal="center" vertical="center"/>
    </xf>
    <xf numFmtId="1" fontId="21" fillId="20" borderId="38" xfId="0" applyNumberFormat="1" applyFont="1" applyFill="1" applyBorder="1" applyAlignment="1">
      <alignment horizontal="center" vertical="center"/>
    </xf>
    <xf numFmtId="1" fontId="21" fillId="20" borderId="1" xfId="0" applyNumberFormat="1" applyFont="1" applyFill="1" applyBorder="1" applyAlignment="1">
      <alignment horizontal="center" vertical="center"/>
    </xf>
    <xf numFmtId="2" fontId="21" fillId="20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left" wrapText="1"/>
      <protection hidden="1"/>
    </xf>
    <xf numFmtId="0" fontId="43" fillId="0" borderId="0" xfId="0" applyFont="1" applyAlignment="1" applyProtection="1">
      <alignment wrapText="1"/>
    </xf>
    <xf numFmtId="0" fontId="43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164" fontId="20" fillId="0" borderId="0" xfId="0" applyNumberFormat="1" applyFont="1" applyAlignment="1" applyProtection="1">
      <alignment horizontal="left"/>
      <protection hidden="1"/>
    </xf>
    <xf numFmtId="0" fontId="20" fillId="0" borderId="0" xfId="0" applyFont="1" applyProtection="1"/>
    <xf numFmtId="0" fontId="20" fillId="0" borderId="0" xfId="0" applyFont="1" applyFill="1" applyProtection="1"/>
    <xf numFmtId="0" fontId="0" fillId="0" borderId="0" xfId="0" applyAlignment="1">
      <alignment horizontal="left" wrapText="1"/>
    </xf>
    <xf numFmtId="0" fontId="0" fillId="9" borderId="0" xfId="0" applyFill="1" applyAlignment="1">
      <alignment wrapText="1"/>
    </xf>
    <xf numFmtId="0" fontId="0" fillId="22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45" fillId="0" borderId="1" xfId="0" applyFont="1" applyBorder="1" applyAlignment="1">
      <alignment horizontal="center" vertical="center" wrapText="1"/>
    </xf>
    <xf numFmtId="0" fontId="73" fillId="0" borderId="62" xfId="0" applyFont="1" applyFill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8" xfId="0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0" fillId="0" borderId="68" xfId="0" applyNumberForma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45" fillId="14" borderId="55" xfId="0" applyFont="1" applyFill="1" applyBorder="1" applyAlignment="1">
      <alignment horizontal="center" vertical="center" wrapText="1"/>
    </xf>
    <xf numFmtId="0" fontId="75" fillId="14" borderId="6" xfId="0" applyFont="1" applyFill="1" applyBorder="1" applyAlignment="1">
      <alignment horizontal="left" vertical="center" wrapText="1"/>
    </xf>
    <xf numFmtId="0" fontId="63" fillId="16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6" fillId="0" borderId="0" xfId="0" applyFont="1" applyAlignment="1">
      <alignment wrapText="1"/>
    </xf>
    <xf numFmtId="0" fontId="73" fillId="5" borderId="70" xfId="0" applyFont="1" applyFill="1" applyBorder="1" applyAlignment="1">
      <alignment horizontal="center" vertical="center" wrapText="1"/>
    </xf>
    <xf numFmtId="0" fontId="77" fillId="5" borderId="13" xfId="0" applyFont="1" applyFill="1" applyBorder="1" applyAlignment="1">
      <alignment horizontal="left" vertical="center" wrapText="1" indent="2"/>
    </xf>
    <xf numFmtId="0" fontId="21" fillId="14" borderId="71" xfId="0" applyFont="1" applyFill="1" applyBorder="1" applyAlignment="1">
      <alignment horizontal="center" vertical="center" wrapText="1"/>
    </xf>
    <xf numFmtId="0" fontId="78" fillId="14" borderId="15" xfId="0" applyFont="1" applyFill="1" applyBorder="1" applyAlignment="1">
      <alignment horizontal="left" vertical="center" wrapText="1"/>
    </xf>
    <xf numFmtId="0" fontId="21" fillId="14" borderId="72" xfId="0" applyFont="1" applyFill="1" applyBorder="1" applyAlignment="1">
      <alignment horizontal="center" vertical="center" wrapText="1"/>
    </xf>
    <xf numFmtId="0" fontId="78" fillId="14" borderId="11" xfId="0" applyFont="1" applyFill="1" applyBorder="1" applyAlignment="1">
      <alignment horizontal="left" vertical="center" wrapText="1"/>
    </xf>
    <xf numFmtId="0" fontId="45" fillId="8" borderId="55" xfId="0" applyFont="1" applyFill="1" applyBorder="1" applyAlignment="1">
      <alignment horizontal="center" vertical="center" wrapText="1"/>
    </xf>
    <xf numFmtId="0" fontId="75" fillId="8" borderId="6" xfId="0" applyFont="1" applyFill="1" applyBorder="1" applyAlignment="1">
      <alignment horizontal="left" vertical="center" wrapText="1"/>
    </xf>
    <xf numFmtId="0" fontId="21" fillId="8" borderId="71" xfId="0" applyFont="1" applyFill="1" applyBorder="1" applyAlignment="1">
      <alignment horizontal="center" vertical="center" wrapText="1"/>
    </xf>
    <xf numFmtId="0" fontId="78" fillId="8" borderId="15" xfId="0" applyFont="1" applyFill="1" applyBorder="1" applyAlignment="1">
      <alignment horizontal="left" vertical="center" wrapText="1"/>
    </xf>
    <xf numFmtId="0" fontId="45" fillId="8" borderId="72" xfId="0" applyFont="1" applyFill="1" applyBorder="1" applyAlignment="1">
      <alignment horizontal="center" vertical="center" wrapText="1"/>
    </xf>
    <xf numFmtId="0" fontId="78" fillId="8" borderId="11" xfId="0" applyFont="1" applyFill="1" applyBorder="1" applyAlignment="1">
      <alignment horizontal="left" vertical="center" wrapText="1"/>
    </xf>
    <xf numFmtId="0" fontId="21" fillId="23" borderId="9" xfId="0" applyFont="1" applyFill="1" applyBorder="1" applyAlignment="1">
      <alignment horizontal="center" vertical="center" wrapText="1"/>
    </xf>
    <xf numFmtId="0" fontId="44" fillId="23" borderId="6" xfId="0" applyFont="1" applyFill="1" applyBorder="1" applyAlignment="1">
      <alignment horizontal="left" vertical="center" wrapText="1"/>
    </xf>
    <xf numFmtId="0" fontId="79" fillId="0" borderId="0" xfId="0" applyFont="1" applyProtection="1"/>
    <xf numFmtId="0" fontId="19" fillId="5" borderId="13" xfId="0" applyFont="1" applyFill="1" applyBorder="1" applyAlignment="1">
      <alignment horizontal="center" vertical="center" wrapText="1"/>
    </xf>
    <xf numFmtId="0" fontId="45" fillId="23" borderId="15" xfId="0" applyFont="1" applyFill="1" applyBorder="1" applyAlignment="1">
      <alignment horizontal="center" vertical="center" wrapText="1"/>
    </xf>
    <xf numFmtId="0" fontId="44" fillId="23" borderId="15" xfId="0" applyFont="1" applyFill="1" applyBorder="1" applyAlignment="1">
      <alignment horizontal="left" vertical="center" wrapText="1"/>
    </xf>
    <xf numFmtId="0" fontId="80" fillId="0" borderId="0" xfId="0" applyFont="1" applyAlignment="1">
      <alignment horizontal="center" wrapText="1"/>
    </xf>
    <xf numFmtId="0" fontId="81" fillId="0" borderId="0" xfId="0" applyFont="1" applyProtection="1"/>
    <xf numFmtId="0" fontId="21" fillId="23" borderId="11" xfId="0" applyFont="1" applyFill="1" applyBorder="1" applyAlignment="1">
      <alignment horizontal="center" vertical="center" wrapText="1"/>
    </xf>
    <xf numFmtId="0" fontId="44" fillId="23" borderId="11" xfId="0" applyFont="1" applyFill="1" applyBorder="1" applyAlignment="1">
      <alignment horizontal="left" vertical="center" wrapText="1"/>
    </xf>
    <xf numFmtId="0" fontId="65" fillId="0" borderId="0" xfId="0" applyFont="1" applyAlignment="1">
      <alignment horizontal="left" wrapText="1"/>
    </xf>
    <xf numFmtId="0" fontId="65" fillId="0" borderId="0" xfId="0" applyFont="1" applyAlignment="1">
      <alignment horizontal="center" vertical="top" wrapText="1"/>
    </xf>
    <xf numFmtId="0" fontId="76" fillId="0" borderId="0" xfId="0" applyFont="1" applyAlignment="1">
      <alignment horizontal="left" wrapText="1"/>
    </xf>
    <xf numFmtId="0" fontId="82" fillId="0" borderId="0" xfId="0" applyFont="1" applyAlignment="1">
      <alignment wrapText="1"/>
    </xf>
    <xf numFmtId="0" fontId="82" fillId="0" borderId="0" xfId="0" applyFont="1"/>
    <xf numFmtId="0" fontId="82" fillId="0" borderId="0" xfId="0" applyFont="1" applyFill="1"/>
    <xf numFmtId="0" fontId="76" fillId="0" borderId="0" xfId="0" applyFont="1" applyFill="1" applyAlignment="1">
      <alignment wrapText="1"/>
    </xf>
    <xf numFmtId="0" fontId="52" fillId="0" borderId="0" xfId="0" applyFont="1"/>
    <xf numFmtId="0" fontId="18" fillId="0" borderId="0" xfId="0" applyFont="1" applyAlignment="1">
      <alignment wrapText="1"/>
    </xf>
    <xf numFmtId="0" fontId="80" fillId="0" borderId="0" xfId="0" applyFont="1" applyAlignment="1">
      <alignment horizontal="left" wrapText="1"/>
    </xf>
    <xf numFmtId="0" fontId="19" fillId="0" borderId="17" xfId="0" applyFont="1" applyFill="1" applyBorder="1" applyAlignment="1">
      <alignment horizontal="center" wrapText="1"/>
    </xf>
    <xf numFmtId="0" fontId="80" fillId="0" borderId="0" xfId="0" applyFont="1" applyFill="1" applyAlignment="1">
      <alignment horizontal="center" wrapText="1"/>
    </xf>
    <xf numFmtId="0" fontId="45" fillId="0" borderId="17" xfId="0" applyFont="1" applyFill="1" applyBorder="1" applyAlignment="1">
      <alignment wrapText="1"/>
    </xf>
    <xf numFmtId="0" fontId="21" fillId="9" borderId="17" xfId="0" applyFont="1" applyFill="1" applyBorder="1" applyAlignment="1">
      <alignment horizontal="center" wrapText="1"/>
    </xf>
    <xf numFmtId="0" fontId="21" fillId="0" borderId="17" xfId="0" applyFont="1" applyFill="1" applyBorder="1" applyAlignment="1">
      <alignment wrapText="1"/>
    </xf>
    <xf numFmtId="0" fontId="26" fillId="0" borderId="0" xfId="0" applyFont="1" applyAlignment="1" applyProtection="1">
      <alignment horizontal="center" wrapText="1"/>
    </xf>
    <xf numFmtId="0" fontId="26" fillId="0" borderId="0" xfId="0" applyFont="1" applyAlignment="1" applyProtection="1">
      <alignment horizontal="left" wrapText="1"/>
    </xf>
    <xf numFmtId="0" fontId="0" fillId="0" borderId="17" xfId="0" applyBorder="1" applyAlignment="1">
      <alignment horizontal="center" wrapText="1"/>
    </xf>
    <xf numFmtId="0" fontId="54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80" fillId="0" borderId="17" xfId="0" applyFont="1" applyBorder="1" applyAlignment="1">
      <alignment horizontal="center" wrapText="1"/>
    </xf>
    <xf numFmtId="0" fontId="52" fillId="0" borderId="17" xfId="0" applyFont="1" applyBorder="1" applyAlignment="1">
      <alignment horizontal="left" wrapText="1"/>
    </xf>
    <xf numFmtId="0" fontId="52" fillId="0" borderId="17" xfId="0" applyFont="1" applyBorder="1" applyAlignment="1">
      <alignment horizontal="center" wrapText="1"/>
    </xf>
    <xf numFmtId="0" fontId="80" fillId="0" borderId="0" xfId="0" applyFont="1" applyAlignment="1">
      <alignment horizontal="center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3" fillId="0" borderId="0" xfId="0" applyFont="1"/>
    <xf numFmtId="0" fontId="52" fillId="0" borderId="17" xfId="0" applyFont="1" applyFill="1" applyBorder="1" applyAlignment="1">
      <alignment horizontal="left" wrapText="1"/>
    </xf>
    <xf numFmtId="0" fontId="52" fillId="0" borderId="17" xfId="0" applyFont="1" applyFill="1" applyBorder="1" applyAlignment="1">
      <alignment horizontal="center" wrapText="1"/>
    </xf>
    <xf numFmtId="0" fontId="45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1" fontId="60" fillId="0" borderId="59" xfId="0" applyNumberFormat="1" applyFont="1" applyBorder="1" applyAlignment="1">
      <alignment horizontal="center" vertical="center"/>
    </xf>
    <xf numFmtId="1" fontId="60" fillId="0" borderId="24" xfId="0" applyNumberFormat="1" applyFont="1" applyBorder="1" applyAlignment="1">
      <alignment horizontal="center" vertical="center"/>
    </xf>
    <xf numFmtId="1" fontId="60" fillId="0" borderId="64" xfId="0" applyNumberFormat="1" applyFont="1" applyBorder="1" applyAlignment="1">
      <alignment horizontal="center" vertical="center" wrapText="1"/>
    </xf>
    <xf numFmtId="1" fontId="60" fillId="8" borderId="24" xfId="0" applyNumberFormat="1" applyFont="1" applyFill="1" applyBorder="1" applyAlignment="1">
      <alignment horizontal="center" vertical="center"/>
    </xf>
    <xf numFmtId="1" fontId="60" fillId="8" borderId="24" xfId="0" applyNumberFormat="1" applyFont="1" applyFill="1" applyBorder="1" applyAlignment="1">
      <alignment horizontal="center" vertical="center" wrapText="1"/>
    </xf>
    <xf numFmtId="0" fontId="87" fillId="0" borderId="0" xfId="0" applyFont="1" applyBorder="1" applyAlignment="1"/>
    <xf numFmtId="0" fontId="20" fillId="0" borderId="0" xfId="0" applyFont="1" applyAlignment="1"/>
    <xf numFmtId="0" fontId="64" fillId="24" borderId="41" xfId="0" applyFont="1" applyFill="1" applyBorder="1" applyAlignment="1">
      <alignment vertical="center" wrapText="1"/>
    </xf>
    <xf numFmtId="0" fontId="2" fillId="0" borderId="0" xfId="4"/>
    <xf numFmtId="0" fontId="88" fillId="0" borderId="0" xfId="4" applyFont="1"/>
    <xf numFmtId="0" fontId="89" fillId="0" borderId="0" xfId="4" applyFont="1"/>
    <xf numFmtId="0" fontId="23" fillId="14" borderId="9" xfId="0" applyFont="1" applyFill="1" applyBorder="1" applyAlignment="1" applyProtection="1">
      <alignment horizontal="center" vertical="center" wrapText="1"/>
    </xf>
    <xf numFmtId="0" fontId="23" fillId="9" borderId="10" xfId="0" applyFont="1" applyFill="1" applyBorder="1" applyAlignment="1" applyProtection="1">
      <alignment horizontal="center" vertical="center" wrapText="1"/>
    </xf>
    <xf numFmtId="1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21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3" fillId="5" borderId="17" xfId="5" applyFont="1" applyFill="1" applyBorder="1" applyAlignment="1">
      <alignment horizontal="centerContinuous" vertical="center" wrapText="1"/>
    </xf>
    <xf numFmtId="0" fontId="23" fillId="25" borderId="17" xfId="5" applyFont="1" applyFill="1" applyBorder="1" applyAlignment="1">
      <alignment horizontal="centerContinuous" vertical="center" wrapText="1"/>
    </xf>
    <xf numFmtId="0" fontId="23" fillId="26" borderId="17" xfId="5" applyFont="1" applyFill="1" applyBorder="1" applyAlignment="1">
      <alignment horizontal="centerContinuous" vertical="center" wrapText="1"/>
    </xf>
    <xf numFmtId="0" fontId="23" fillId="13" borderId="17" xfId="5" applyFont="1" applyFill="1" applyBorder="1" applyAlignment="1">
      <alignment horizontal="centerContinuous" vertical="center" wrapText="1"/>
    </xf>
    <xf numFmtId="0" fontId="49" fillId="5" borderId="17" xfId="0" applyFont="1" applyFill="1" applyBorder="1" applyAlignment="1" applyProtection="1">
      <alignment horizontal="center" vertical="center" wrapText="1"/>
      <protection locked="0"/>
    </xf>
    <xf numFmtId="0" fontId="49" fillId="25" borderId="17" xfId="0" applyFont="1" applyFill="1" applyBorder="1" applyAlignment="1" applyProtection="1">
      <alignment horizontal="center" vertical="center" wrapText="1"/>
      <protection locked="0"/>
    </xf>
    <xf numFmtId="0" fontId="49" fillId="26" borderId="17" xfId="0" applyFont="1" applyFill="1" applyBorder="1" applyAlignment="1" applyProtection="1">
      <alignment horizontal="center" vertical="center" wrapText="1"/>
      <protection locked="0"/>
    </xf>
    <xf numFmtId="0" fontId="49" fillId="13" borderId="17" xfId="0" applyFont="1" applyFill="1" applyBorder="1" applyAlignment="1" applyProtection="1">
      <alignment horizontal="center" vertical="center" wrapText="1"/>
      <protection locked="0"/>
    </xf>
    <xf numFmtId="0" fontId="23" fillId="8" borderId="17" xfId="0" applyFont="1" applyFill="1" applyBorder="1" applyAlignment="1">
      <alignment horizontal="right" vertical="center"/>
    </xf>
    <xf numFmtId="1" fontId="0" fillId="6" borderId="1" xfId="0" applyNumberFormat="1" applyFill="1" applyBorder="1" applyAlignment="1">
      <alignment horizontal="center" vertical="center"/>
    </xf>
    <xf numFmtId="49" fontId="19" fillId="5" borderId="4" xfId="0" applyNumberFormat="1" applyFont="1" applyFill="1" applyBorder="1" applyAlignment="1">
      <alignment horizontal="center" vertical="center" wrapText="1"/>
    </xf>
    <xf numFmtId="0" fontId="19" fillId="24" borderId="0" xfId="0" applyFont="1" applyFill="1"/>
    <xf numFmtId="0" fontId="19" fillId="25" borderId="4" xfId="0" applyFont="1" applyFill="1" applyBorder="1" applyAlignment="1" applyProtection="1">
      <alignment horizontal="center" vertical="center" wrapText="1"/>
      <protection locked="0"/>
    </xf>
    <xf numFmtId="0" fontId="19" fillId="25" borderId="3" xfId="0" applyFont="1" applyFill="1" applyBorder="1" applyAlignment="1" applyProtection="1">
      <alignment horizontal="center" vertical="center" wrapText="1"/>
      <protection locked="0"/>
    </xf>
    <xf numFmtId="0" fontId="19" fillId="25" borderId="2" xfId="0" applyFont="1" applyFill="1" applyBorder="1" applyAlignment="1" applyProtection="1">
      <alignment horizontal="center" vertical="center" wrapText="1"/>
      <protection locked="0"/>
    </xf>
    <xf numFmtId="0" fontId="19" fillId="25" borderId="8" xfId="0" applyFont="1" applyFill="1" applyBorder="1" applyAlignment="1" applyProtection="1">
      <alignment horizontal="center" vertical="center" wrapText="1"/>
      <protection locked="0"/>
    </xf>
    <xf numFmtId="0" fontId="2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18" xfId="0" applyFont="1" applyFill="1" applyBorder="1" applyAlignment="1" applyProtection="1">
      <alignment horizontal="center" vertical="center" wrapText="1"/>
      <protection locked="0"/>
    </xf>
    <xf numFmtId="0" fontId="19" fillId="6" borderId="19" xfId="0" applyFont="1" applyFill="1" applyBorder="1" applyAlignment="1" applyProtection="1">
      <alignment horizontal="center" vertical="center" wrapText="1"/>
    </xf>
    <xf numFmtId="0" fontId="19" fillId="6" borderId="17" xfId="0" applyFont="1" applyFill="1" applyBorder="1" applyAlignment="1" applyProtection="1">
      <alignment horizontal="center" vertical="center" wrapText="1"/>
    </xf>
    <xf numFmtId="0" fontId="24" fillId="21" borderId="0" xfId="0" applyFont="1" applyFill="1"/>
    <xf numFmtId="0" fontId="13" fillId="21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40" fillId="0" borderId="0" xfId="0" applyFont="1" applyFill="1" applyProtection="1"/>
    <xf numFmtId="0" fontId="73" fillId="4" borderId="0" xfId="0" applyFont="1" applyFill="1" applyAlignment="1" applyProtection="1">
      <alignment horizontal="center" vertical="center" wrapText="1"/>
      <protection hidden="1"/>
    </xf>
    <xf numFmtId="0" fontId="19" fillId="24" borderId="0" xfId="0" applyFont="1" applyFill="1" applyAlignment="1">
      <alignment wrapText="1"/>
    </xf>
    <xf numFmtId="0" fontId="0" fillId="24" borderId="0" xfId="0" applyFill="1" applyAlignment="1">
      <alignment wrapText="1"/>
    </xf>
    <xf numFmtId="0" fontId="23" fillId="0" borderId="73" xfId="0" applyFont="1" applyFill="1" applyBorder="1" applyAlignment="1" applyProtection="1">
      <alignment vertical="center" wrapText="1"/>
    </xf>
    <xf numFmtId="0" fontId="23" fillId="0" borderId="72" xfId="0" applyFont="1" applyFill="1" applyBorder="1" applyAlignment="1" applyProtection="1">
      <alignment vertical="center" wrapText="1"/>
    </xf>
    <xf numFmtId="0" fontId="10" fillId="0" borderId="4" xfId="0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2" borderId="69" xfId="0" applyFont="1" applyFill="1" applyBorder="1" applyAlignment="1" applyProtection="1">
      <alignment horizontal="center" vertical="center"/>
    </xf>
    <xf numFmtId="0" fontId="0" fillId="0" borderId="17" xfId="0" applyBorder="1"/>
    <xf numFmtId="0" fontId="63" fillId="26" borderId="0" xfId="0" applyFont="1" applyFill="1" applyAlignment="1">
      <alignment horizontal="center" vertical="center" wrapText="1"/>
    </xf>
    <xf numFmtId="0" fontId="63" fillId="27" borderId="0" xfId="0" applyFont="1" applyFill="1" applyAlignment="1">
      <alignment horizontal="center" vertical="center" wrapText="1"/>
    </xf>
    <xf numFmtId="0" fontId="90" fillId="0" borderId="0" xfId="0" applyFont="1" applyBorder="1" applyAlignment="1">
      <alignment vertical="center" wrapText="1"/>
    </xf>
    <xf numFmtId="1" fontId="54" fillId="0" borderId="28" xfId="0" applyNumberFormat="1" applyFont="1" applyBorder="1" applyAlignment="1">
      <alignment horizontal="center" vertical="center" wrapText="1"/>
    </xf>
    <xf numFmtId="0" fontId="53" fillId="16" borderId="0" xfId="0" applyFont="1" applyFill="1" applyAlignment="1">
      <alignment horizontal="center" vertical="center" wrapText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wrapText="1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17" xfId="0" applyFont="1" applyFill="1" applyBorder="1" applyAlignment="1">
      <alignment horizontal="left" vertical="center" wrapText="1"/>
    </xf>
    <xf numFmtId="1" fontId="93" fillId="0" borderId="1" xfId="0" applyNumberFormat="1" applyFont="1" applyBorder="1" applyAlignment="1">
      <alignment horizontal="left" vertical="center" wrapText="1"/>
    </xf>
    <xf numFmtId="0" fontId="93" fillId="0" borderId="60" xfId="0" applyFont="1" applyFill="1" applyBorder="1" applyAlignment="1">
      <alignment horizontal="left" vertical="center" wrapText="1" indent="1"/>
    </xf>
    <xf numFmtId="1" fontId="60" fillId="0" borderId="17" xfId="0" applyNumberFormat="1" applyFont="1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vertical="center" wrapText="1"/>
    </xf>
    <xf numFmtId="0" fontId="30" fillId="0" borderId="0" xfId="0" applyFont="1"/>
    <xf numFmtId="1" fontId="22" fillId="0" borderId="0" xfId="0" applyNumberFormat="1" applyFont="1" applyAlignment="1">
      <alignment horizontal="centerContinuous" vertical="center"/>
    </xf>
    <xf numFmtId="1" fontId="22" fillId="5" borderId="1" xfId="0" applyNumberFormat="1" applyFont="1" applyFill="1" applyBorder="1" applyAlignment="1" applyProtection="1">
      <alignment horizontal="centerContinuous" vertical="center"/>
      <protection locked="0"/>
    </xf>
    <xf numFmtId="0" fontId="30" fillId="5" borderId="1" xfId="0" applyFont="1" applyFill="1" applyBorder="1" applyAlignment="1" applyProtection="1">
      <alignment horizontal="centerContinuous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0" fillId="0" borderId="0" xfId="0" applyFill="1" applyProtection="1"/>
    <xf numFmtId="0" fontId="25" fillId="6" borderId="1" xfId="0" applyFont="1" applyFill="1" applyBorder="1" applyAlignment="1" applyProtection="1">
      <alignment horizontal="center" vertical="center"/>
    </xf>
    <xf numFmtId="1" fontId="22" fillId="6" borderId="1" xfId="0" applyNumberFormat="1" applyFont="1" applyFill="1" applyBorder="1" applyAlignment="1" applyProtection="1">
      <alignment horizontal="centerContinuous" vertical="center"/>
    </xf>
    <xf numFmtId="0" fontId="94" fillId="5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20" fillId="6" borderId="1" xfId="0" applyFont="1" applyFill="1" applyBorder="1" applyAlignment="1">
      <alignment horizontal="right" vertical="center"/>
    </xf>
    <xf numFmtId="0" fontId="0" fillId="9" borderId="0" xfId="0" applyFill="1"/>
    <xf numFmtId="1" fontId="10" fillId="10" borderId="7" xfId="0" applyNumberFormat="1" applyFont="1" applyFill="1" applyBorder="1" applyAlignment="1" applyProtection="1">
      <alignment horizontal="center" vertical="center"/>
    </xf>
    <xf numFmtId="1" fontId="91" fillId="0" borderId="17" xfId="0" applyNumberFormat="1" applyFont="1" applyBorder="1" applyAlignment="1">
      <alignment horizontal="left" vertical="center" wrapText="1" indent="1"/>
    </xf>
    <xf numFmtId="0" fontId="91" fillId="0" borderId="17" xfId="0" applyFont="1" applyFill="1" applyBorder="1" applyAlignment="1">
      <alignment horizontal="left" vertical="center" wrapText="1" indent="1"/>
    </xf>
    <xf numFmtId="0" fontId="91" fillId="26" borderId="17" xfId="0" applyFont="1" applyFill="1" applyBorder="1" applyAlignment="1">
      <alignment horizontal="left" vertical="center" wrapText="1" indent="1"/>
    </xf>
    <xf numFmtId="0" fontId="91" fillId="21" borderId="17" xfId="0" applyFont="1" applyFill="1" applyBorder="1" applyAlignment="1">
      <alignment horizontal="left" vertical="center" wrapText="1" indent="1"/>
    </xf>
    <xf numFmtId="0" fontId="20" fillId="25" borderId="1" xfId="0" applyFont="1" applyFill="1" applyBorder="1" applyAlignment="1" applyProtection="1">
      <alignment horizontal="right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0" fillId="5" borderId="25" xfId="0" applyFill="1" applyBorder="1" applyAlignment="1" applyProtection="1">
      <alignment horizontal="center" vertical="center"/>
      <protection locked="0"/>
    </xf>
    <xf numFmtId="49" fontId="19" fillId="0" borderId="6" xfId="0" applyNumberFormat="1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/>
    </xf>
    <xf numFmtId="0" fontId="20" fillId="17" borderId="4" xfId="0" applyFont="1" applyFill="1" applyBorder="1" applyAlignment="1">
      <alignment horizontal="center" vertical="center" wrapText="1"/>
    </xf>
    <xf numFmtId="0" fontId="20" fillId="17" borderId="6" xfId="0" applyFont="1" applyFill="1" applyBorder="1" applyAlignment="1">
      <alignment horizontal="center" vertical="center" wrapText="1"/>
    </xf>
    <xf numFmtId="0" fontId="20" fillId="17" borderId="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18" borderId="17" xfId="0" applyFont="1" applyFill="1" applyBorder="1" applyAlignment="1">
      <alignment horizontal="center" vertical="center" wrapText="1"/>
    </xf>
    <xf numFmtId="0" fontId="47" fillId="8" borderId="33" xfId="0" applyFont="1" applyFill="1" applyBorder="1" applyAlignment="1">
      <alignment horizontal="center" vertical="center"/>
    </xf>
    <xf numFmtId="0" fontId="45" fillId="0" borderId="57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73" fillId="0" borderId="19" xfId="0" applyFont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0" fillId="0" borderId="63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49" fontId="0" fillId="0" borderId="61" xfId="0" applyNumberFormat="1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23" xfId="0" applyNumberFormat="1" applyBorder="1" applyAlignment="1">
      <alignment horizontal="center" wrapText="1"/>
    </xf>
    <xf numFmtId="0" fontId="0" fillId="0" borderId="61" xfId="0" applyNumberFormat="1" applyBorder="1" applyAlignment="1">
      <alignment horizontal="center" wrapText="1"/>
    </xf>
    <xf numFmtId="1" fontId="84" fillId="23" borderId="6" xfId="0" applyNumberFormat="1" applyFont="1" applyFill="1" applyBorder="1" applyAlignment="1">
      <alignment horizontal="left" vertical="center" wrapText="1"/>
    </xf>
    <xf numFmtId="1" fontId="84" fillId="15" borderId="5" xfId="0" applyNumberFormat="1" applyFont="1" applyFill="1" applyBorder="1" applyAlignment="1">
      <alignment horizontal="left" vertical="center" wrapText="1"/>
    </xf>
    <xf numFmtId="1" fontId="60" fillId="8" borderId="48" xfId="0" applyNumberFormat="1" applyFont="1" applyFill="1" applyBorder="1" applyAlignment="1">
      <alignment horizontal="center" vertical="center"/>
    </xf>
    <xf numFmtId="0" fontId="43" fillId="0" borderId="27" xfId="0" applyFont="1" applyBorder="1" applyAlignment="1">
      <alignment horizontal="center" vertical="center" wrapText="1"/>
    </xf>
    <xf numFmtId="1" fontId="43" fillId="21" borderId="17" xfId="0" applyNumberFormat="1" applyFont="1" applyFill="1" applyBorder="1" applyAlignment="1">
      <alignment horizontal="center" vertical="center"/>
    </xf>
    <xf numFmtId="1" fontId="60" fillId="0" borderId="2" xfId="0" applyNumberFormat="1" applyFont="1" applyFill="1" applyBorder="1" applyAlignment="1">
      <alignment horizontal="center" vertical="center"/>
    </xf>
    <xf numFmtId="1" fontId="43" fillId="21" borderId="54" xfId="0" applyNumberFormat="1" applyFont="1" applyFill="1" applyBorder="1" applyAlignment="1">
      <alignment horizontal="center" vertical="center"/>
    </xf>
    <xf numFmtId="1" fontId="43" fillId="21" borderId="19" xfId="0" applyNumberFormat="1" applyFont="1" applyFill="1" applyBorder="1" applyAlignment="1">
      <alignment horizontal="center" vertical="center"/>
    </xf>
    <xf numFmtId="1" fontId="43" fillId="21" borderId="18" xfId="0" applyNumberFormat="1" applyFont="1" applyFill="1" applyBorder="1" applyAlignment="1">
      <alignment horizontal="center" vertical="center"/>
    </xf>
    <xf numFmtId="1" fontId="43" fillId="21" borderId="20" xfId="0" applyNumberFormat="1" applyFont="1" applyFill="1" applyBorder="1" applyAlignment="1">
      <alignment horizontal="center" vertical="center"/>
    </xf>
    <xf numFmtId="1" fontId="43" fillId="21" borderId="22" xfId="0" applyNumberFormat="1" applyFont="1" applyFill="1" applyBorder="1" applyAlignment="1">
      <alignment horizontal="center" vertical="center"/>
    </xf>
    <xf numFmtId="1" fontId="43" fillId="21" borderId="21" xfId="0" applyNumberFormat="1" applyFont="1" applyFill="1" applyBorder="1" applyAlignment="1">
      <alignment horizontal="center" vertical="center"/>
    </xf>
    <xf numFmtId="1" fontId="62" fillId="17" borderId="21" xfId="0" applyNumberFormat="1" applyFont="1" applyFill="1" applyBorder="1" applyAlignment="1">
      <alignment horizontal="center" vertical="center"/>
    </xf>
    <xf numFmtId="1" fontId="43" fillId="21" borderId="73" xfId="0" applyNumberFormat="1" applyFont="1" applyFill="1" applyBorder="1" applyAlignment="1">
      <alignment horizontal="center" vertical="center"/>
    </xf>
    <xf numFmtId="1" fontId="62" fillId="17" borderId="58" xfId="0" applyNumberFormat="1" applyFont="1" applyFill="1" applyBorder="1" applyAlignment="1">
      <alignment horizontal="center" vertical="center"/>
    </xf>
    <xf numFmtId="1" fontId="43" fillId="21" borderId="23" xfId="0" applyNumberFormat="1" applyFont="1" applyFill="1" applyBorder="1" applyAlignment="1">
      <alignment horizontal="center" vertical="center"/>
    </xf>
    <xf numFmtId="1" fontId="43" fillId="21" borderId="15" xfId="0" applyNumberFormat="1" applyFont="1" applyFill="1" applyBorder="1" applyAlignment="1">
      <alignment horizontal="center" vertical="center"/>
    </xf>
    <xf numFmtId="1" fontId="43" fillId="21" borderId="11" xfId="0" applyNumberFormat="1" applyFont="1" applyFill="1" applyBorder="1" applyAlignment="1">
      <alignment horizontal="center" vertical="center"/>
    </xf>
    <xf numFmtId="1" fontId="43" fillId="21" borderId="58" xfId="0" applyNumberFormat="1" applyFont="1" applyFill="1" applyBorder="1" applyAlignment="1">
      <alignment horizontal="center" vertical="center"/>
    </xf>
    <xf numFmtId="0" fontId="23" fillId="0" borderId="42" xfId="0" applyFont="1" applyFill="1" applyBorder="1" applyAlignment="1" applyProtection="1">
      <alignment vertical="center" wrapText="1"/>
    </xf>
    <xf numFmtId="1" fontId="43" fillId="0" borderId="17" xfId="0" applyNumberFormat="1" applyFont="1" applyFill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1" fontId="43" fillId="0" borderId="19" xfId="0" applyNumberFormat="1" applyFont="1" applyFill="1" applyBorder="1" applyAlignment="1">
      <alignment horizontal="center" vertical="center"/>
    </xf>
    <xf numFmtId="0" fontId="43" fillId="0" borderId="41" xfId="0" applyFont="1" applyFill="1" applyBorder="1" applyAlignment="1">
      <alignment horizontal="center" vertical="center" wrapText="1"/>
    </xf>
    <xf numFmtId="1" fontId="43" fillId="0" borderId="41" xfId="0" applyNumberFormat="1" applyFont="1" applyFill="1" applyBorder="1" applyAlignment="1">
      <alignment horizontal="center" vertical="center"/>
    </xf>
    <xf numFmtId="1" fontId="43" fillId="21" borderId="41" xfId="0" applyNumberFormat="1" applyFont="1" applyFill="1" applyBorder="1" applyAlignment="1">
      <alignment horizontal="center" vertical="center"/>
    </xf>
    <xf numFmtId="0" fontId="43" fillId="0" borderId="19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23" fillId="0" borderId="43" xfId="0" applyFont="1" applyFill="1" applyBorder="1" applyAlignment="1" applyProtection="1">
      <alignment vertical="center" wrapText="1"/>
    </xf>
    <xf numFmtId="1" fontId="43" fillId="8" borderId="20" xfId="0" applyNumberFormat="1" applyFont="1" applyFill="1" applyBorder="1" applyAlignment="1">
      <alignment horizontal="center" vertical="center"/>
    </xf>
    <xf numFmtId="1" fontId="43" fillId="8" borderId="22" xfId="0" applyNumberFormat="1" applyFont="1" applyFill="1" applyBorder="1" applyAlignment="1">
      <alignment horizontal="center" vertical="center"/>
    </xf>
    <xf numFmtId="1" fontId="43" fillId="8" borderId="21" xfId="0" applyNumberFormat="1" applyFont="1" applyFill="1" applyBorder="1" applyAlignment="1">
      <alignment horizontal="center" vertical="center"/>
    </xf>
    <xf numFmtId="1" fontId="60" fillId="0" borderId="41" xfId="0" applyNumberFormat="1" applyFont="1" applyFill="1" applyBorder="1" applyAlignment="1">
      <alignment horizontal="center" vertical="center"/>
    </xf>
    <xf numFmtId="1" fontId="61" fillId="0" borderId="41" xfId="0" applyNumberFormat="1" applyFont="1" applyBorder="1" applyAlignment="1">
      <alignment horizontal="center" vertical="center" wrapText="1"/>
    </xf>
    <xf numFmtId="1" fontId="61" fillId="26" borderId="41" xfId="0" applyNumberFormat="1" applyFont="1" applyFill="1" applyBorder="1" applyAlignment="1">
      <alignment horizontal="center" vertical="center" wrapText="1"/>
    </xf>
    <xf numFmtId="49" fontId="61" fillId="0" borderId="41" xfId="0" applyNumberFormat="1" applyFont="1" applyBorder="1" applyAlignment="1">
      <alignment horizontal="center" vertical="center" wrapText="1"/>
    </xf>
    <xf numFmtId="1" fontId="43" fillId="21" borderId="12" xfId="0" applyNumberFormat="1" applyFont="1" applyFill="1" applyBorder="1" applyAlignment="1" applyProtection="1">
      <alignment horizontal="center" vertical="center"/>
    </xf>
    <xf numFmtId="1" fontId="43" fillId="21" borderId="11" xfId="0" applyNumberFormat="1" applyFont="1" applyFill="1" applyBorder="1" applyAlignment="1" applyProtection="1">
      <alignment horizontal="center" vertical="center"/>
    </xf>
    <xf numFmtId="1" fontId="43" fillId="21" borderId="20" xfId="0" applyNumberFormat="1" applyFont="1" applyFill="1" applyBorder="1" applyAlignment="1" applyProtection="1">
      <alignment horizontal="center" vertical="center"/>
    </xf>
    <xf numFmtId="1" fontId="43" fillId="21" borderId="22" xfId="0" applyNumberFormat="1" applyFont="1" applyFill="1" applyBorder="1" applyAlignment="1" applyProtection="1">
      <alignment horizontal="center" vertical="center"/>
    </xf>
    <xf numFmtId="1" fontId="43" fillId="21" borderId="21" xfId="0" applyNumberFormat="1" applyFont="1" applyFill="1" applyBorder="1" applyAlignment="1" applyProtection="1">
      <alignment horizontal="center" vertical="center"/>
    </xf>
    <xf numFmtId="1" fontId="43" fillId="21" borderId="73" xfId="0" applyNumberFormat="1" applyFont="1" applyFill="1" applyBorder="1" applyAlignment="1" applyProtection="1">
      <alignment horizontal="center" vertical="center"/>
    </xf>
    <xf numFmtId="1" fontId="43" fillId="17" borderId="21" xfId="0" applyNumberFormat="1" applyFont="1" applyFill="1" applyBorder="1" applyAlignment="1" applyProtection="1">
      <alignment horizontal="center" vertical="center"/>
    </xf>
    <xf numFmtId="1" fontId="43" fillId="21" borderId="13" xfId="0" applyNumberFormat="1" applyFont="1" applyFill="1" applyBorder="1" applyAlignment="1" applyProtection="1">
      <alignment horizontal="center" vertical="center"/>
    </xf>
    <xf numFmtId="1" fontId="43" fillId="21" borderId="35" xfId="0" applyNumberFormat="1" applyFont="1" applyFill="1" applyBorder="1" applyAlignment="1" applyProtection="1">
      <alignment horizontal="center" vertical="center"/>
    </xf>
    <xf numFmtId="1" fontId="43" fillId="21" borderId="36" xfId="0" applyNumberFormat="1" applyFont="1" applyFill="1" applyBorder="1" applyAlignment="1" applyProtection="1">
      <alignment horizontal="center" vertical="center"/>
    </xf>
    <xf numFmtId="1" fontId="43" fillId="21" borderId="75" xfId="0" applyNumberFormat="1" applyFont="1" applyFill="1" applyBorder="1" applyAlignment="1" applyProtection="1">
      <alignment horizontal="center" vertical="center"/>
    </xf>
    <xf numFmtId="1" fontId="43" fillId="21" borderId="39" xfId="0" applyNumberFormat="1" applyFont="1" applyFill="1" applyBorder="1" applyAlignment="1" applyProtection="1">
      <alignment horizontal="center" vertical="center"/>
    </xf>
    <xf numFmtId="0" fontId="43" fillId="18" borderId="19" xfId="0" applyFont="1" applyFill="1" applyBorder="1" applyAlignment="1">
      <alignment horizontal="center" vertical="center" wrapText="1"/>
    </xf>
    <xf numFmtId="1" fontId="91" fillId="0" borderId="15" xfId="0" applyNumberFormat="1" applyFont="1" applyFill="1" applyBorder="1" applyAlignment="1">
      <alignment horizontal="center" vertical="center"/>
    </xf>
    <xf numFmtId="1" fontId="91" fillId="0" borderId="19" xfId="0" applyNumberFormat="1" applyFont="1" applyFill="1" applyBorder="1" applyAlignment="1">
      <alignment horizontal="center" vertical="center"/>
    </xf>
    <xf numFmtId="1" fontId="91" fillId="0" borderId="17" xfId="0" applyNumberFormat="1" applyFont="1" applyFill="1" applyBorder="1" applyAlignment="1">
      <alignment horizontal="center" vertical="center"/>
    </xf>
    <xf numFmtId="1" fontId="91" fillId="0" borderId="41" xfId="0" applyNumberFormat="1" applyFont="1" applyFill="1" applyBorder="1" applyAlignment="1">
      <alignment horizontal="center" vertical="center"/>
    </xf>
    <xf numFmtId="1" fontId="91" fillId="0" borderId="18" xfId="0" applyNumberFormat="1" applyFont="1" applyFill="1" applyBorder="1" applyAlignment="1">
      <alignment horizontal="center" vertical="center"/>
    </xf>
    <xf numFmtId="1" fontId="91" fillId="18" borderId="65" xfId="0" applyNumberFormat="1" applyFont="1" applyFill="1" applyBorder="1" applyAlignment="1">
      <alignment horizontal="center" vertical="center"/>
    </xf>
    <xf numFmtId="1" fontId="91" fillId="18" borderId="15" xfId="0" applyNumberFormat="1" applyFont="1" applyFill="1" applyBorder="1" applyAlignment="1">
      <alignment horizontal="center" vertical="center"/>
    </xf>
    <xf numFmtId="1" fontId="91" fillId="18" borderId="19" xfId="0" applyNumberFormat="1" applyFont="1" applyFill="1" applyBorder="1" applyAlignment="1">
      <alignment horizontal="center" vertical="center"/>
    </xf>
    <xf numFmtId="1" fontId="91" fillId="18" borderId="17" xfId="0" applyNumberFormat="1" applyFont="1" applyFill="1" applyBorder="1" applyAlignment="1">
      <alignment horizontal="center" vertical="center"/>
    </xf>
    <xf numFmtId="1" fontId="91" fillId="18" borderId="18" xfId="0" applyNumberFormat="1" applyFont="1" applyFill="1" applyBorder="1" applyAlignment="1">
      <alignment horizontal="center" vertical="center"/>
    </xf>
    <xf numFmtId="1" fontId="43" fillId="17" borderId="58" xfId="0" applyNumberFormat="1" applyFont="1" applyFill="1" applyBorder="1" applyAlignment="1" applyProtection="1">
      <alignment horizontal="center" vertical="center"/>
    </xf>
    <xf numFmtId="1" fontId="91" fillId="0" borderId="23" xfId="0" applyNumberFormat="1" applyFont="1" applyBorder="1" applyAlignment="1">
      <alignment horizontal="left" vertical="center" wrapText="1" indent="1"/>
    </xf>
    <xf numFmtId="1" fontId="61" fillId="0" borderId="76" xfId="0" applyNumberFormat="1" applyFont="1" applyBorder="1" applyAlignment="1">
      <alignment horizontal="center" vertical="center" wrapText="1"/>
    </xf>
    <xf numFmtId="0" fontId="91" fillId="5" borderId="36" xfId="0" applyFont="1" applyFill="1" applyBorder="1" applyAlignment="1">
      <alignment horizontal="left" vertical="center" wrapText="1" indent="1"/>
    </xf>
    <xf numFmtId="49" fontId="61" fillId="5" borderId="75" xfId="0" applyNumberFormat="1" applyFont="1" applyFill="1" applyBorder="1" applyAlignment="1">
      <alignment horizontal="center" vertical="center" wrapText="1"/>
    </xf>
    <xf numFmtId="1" fontId="43" fillId="21" borderId="14" xfId="0" applyNumberFormat="1" applyFont="1" applyFill="1" applyBorder="1" applyAlignment="1" applyProtection="1">
      <alignment horizontal="center" vertical="center"/>
    </xf>
    <xf numFmtId="1" fontId="43" fillId="17" borderId="51" xfId="0" applyNumberFormat="1" applyFont="1" applyFill="1" applyBorder="1" applyAlignment="1" applyProtection="1">
      <alignment horizontal="center" vertical="center"/>
    </xf>
    <xf numFmtId="1" fontId="43" fillId="17" borderId="39" xfId="0" applyNumberFormat="1" applyFont="1" applyFill="1" applyBorder="1" applyAlignment="1" applyProtection="1">
      <alignment horizontal="center" vertical="center"/>
    </xf>
    <xf numFmtId="1" fontId="91" fillId="0" borderId="7" xfId="0" applyNumberFormat="1" applyFont="1" applyBorder="1" applyAlignment="1">
      <alignment horizontal="left" vertical="center" wrapText="1" indent="1"/>
    </xf>
    <xf numFmtId="1" fontId="61" fillId="0" borderId="66" xfId="0" applyNumberFormat="1" applyFont="1" applyBorder="1" applyAlignment="1">
      <alignment horizontal="center" vertical="center" wrapText="1"/>
    </xf>
    <xf numFmtId="1" fontId="43" fillId="21" borderId="6" xfId="0" applyNumberFormat="1" applyFont="1" applyFill="1" applyBorder="1" applyAlignment="1" applyProtection="1">
      <alignment horizontal="center" vertical="center"/>
    </xf>
    <xf numFmtId="1" fontId="43" fillId="21" borderId="7" xfId="0" applyNumberFormat="1" applyFont="1" applyFill="1" applyBorder="1" applyAlignment="1" applyProtection="1">
      <alignment horizontal="center" vertical="center"/>
    </xf>
    <xf numFmtId="1" fontId="43" fillId="21" borderId="37" xfId="0" applyNumberFormat="1" applyFont="1" applyFill="1" applyBorder="1" applyAlignment="1" applyProtection="1">
      <alignment horizontal="center" vertical="center"/>
    </xf>
    <xf numFmtId="1" fontId="43" fillId="21" borderId="66" xfId="0" applyNumberFormat="1" applyFont="1" applyFill="1" applyBorder="1" applyAlignment="1" applyProtection="1">
      <alignment horizontal="center" vertical="center"/>
    </xf>
    <xf numFmtId="1" fontId="43" fillId="21" borderId="38" xfId="0" applyNumberFormat="1" applyFont="1" applyFill="1" applyBorder="1" applyAlignment="1" applyProtection="1">
      <alignment horizontal="center" vertical="center"/>
    </xf>
    <xf numFmtId="1" fontId="62" fillId="21" borderId="1" xfId="0" applyNumberFormat="1" applyFont="1" applyFill="1" applyBorder="1" applyAlignment="1" applyProtection="1">
      <alignment horizontal="center" vertical="center"/>
    </xf>
    <xf numFmtId="1" fontId="62" fillId="17" borderId="38" xfId="0" applyNumberFormat="1" applyFont="1" applyFill="1" applyBorder="1" applyAlignment="1" applyProtection="1">
      <alignment horizontal="center" vertical="center"/>
    </xf>
    <xf numFmtId="1" fontId="62" fillId="17" borderId="53" xfId="0" applyNumberFormat="1" applyFont="1" applyFill="1" applyBorder="1" applyAlignment="1" applyProtection="1">
      <alignment horizontal="center" vertical="center"/>
    </xf>
    <xf numFmtId="0" fontId="43" fillId="18" borderId="41" xfId="0" applyFont="1" applyFill="1" applyBorder="1" applyAlignment="1">
      <alignment horizontal="center" vertical="center" wrapText="1"/>
    </xf>
    <xf numFmtId="1" fontId="91" fillId="18" borderId="41" xfId="0" applyNumberFormat="1" applyFont="1" applyFill="1" applyBorder="1" applyAlignment="1">
      <alignment horizontal="center" vertical="center"/>
    </xf>
    <xf numFmtId="1" fontId="91" fillId="18" borderId="54" xfId="0" applyNumberFormat="1" applyFont="1" applyFill="1" applyBorder="1" applyAlignment="1">
      <alignment horizontal="center" vertical="center"/>
    </xf>
    <xf numFmtId="0" fontId="95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95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96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9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96" fillId="5" borderId="54" xfId="0" applyNumberFormat="1" applyFont="1" applyFill="1" applyBorder="1" applyAlignment="1" applyProtection="1">
      <alignment horizontal="center" vertical="center" wrapText="1"/>
      <protection locked="0"/>
    </xf>
    <xf numFmtId="1" fontId="97" fillId="17" borderId="15" xfId="0" applyNumberFormat="1" applyFont="1" applyFill="1" applyBorder="1" applyAlignment="1" applyProtection="1">
      <alignment horizontal="center" vertical="center"/>
    </xf>
    <xf numFmtId="1" fontId="97" fillId="17" borderId="19" xfId="0" applyNumberFormat="1" applyFont="1" applyFill="1" applyBorder="1" applyAlignment="1" applyProtection="1">
      <alignment horizontal="center" vertical="center"/>
    </xf>
    <xf numFmtId="1" fontId="97" fillId="17" borderId="17" xfId="0" applyNumberFormat="1" applyFont="1" applyFill="1" applyBorder="1" applyAlignment="1" applyProtection="1">
      <alignment horizontal="center" vertical="center"/>
    </xf>
    <xf numFmtId="1" fontId="97" fillId="17" borderId="41" xfId="0" applyNumberFormat="1" applyFont="1" applyFill="1" applyBorder="1" applyAlignment="1" applyProtection="1">
      <alignment horizontal="center" vertical="center"/>
    </xf>
    <xf numFmtId="1" fontId="97" fillId="17" borderId="18" xfId="0" applyNumberFormat="1" applyFont="1" applyFill="1" applyBorder="1" applyAlignment="1" applyProtection="1">
      <alignment horizontal="center" vertical="center"/>
    </xf>
    <xf numFmtId="1" fontId="97" fillId="17" borderId="65" xfId="0" applyNumberFormat="1" applyFont="1" applyFill="1" applyBorder="1" applyAlignment="1" applyProtection="1">
      <alignment horizontal="center" vertical="center"/>
    </xf>
    <xf numFmtId="1" fontId="97" fillId="17" borderId="54" xfId="0" applyNumberFormat="1" applyFont="1" applyFill="1" applyBorder="1" applyAlignment="1" applyProtection="1">
      <alignment horizontal="center" vertical="center"/>
    </xf>
    <xf numFmtId="0" fontId="98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98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99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99" fillId="5" borderId="41" xfId="0" applyNumberFormat="1" applyFont="1" applyFill="1" applyBorder="1" applyAlignment="1" applyProtection="1">
      <alignment horizontal="center" vertical="center" wrapText="1"/>
      <protection locked="0"/>
    </xf>
    <xf numFmtId="0" fontId="99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99" fillId="5" borderId="65" xfId="0" applyNumberFormat="1" applyFont="1" applyFill="1" applyBorder="1" applyAlignment="1" applyProtection="1">
      <alignment horizontal="center" vertical="center" wrapText="1"/>
      <protection locked="0"/>
    </xf>
    <xf numFmtId="0" fontId="99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99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99" fillId="5" borderId="54" xfId="0" applyNumberFormat="1" applyFont="1" applyFill="1" applyBorder="1" applyAlignment="1" applyProtection="1">
      <alignment horizontal="center" vertical="center" wrapText="1"/>
      <protection locked="0"/>
    </xf>
    <xf numFmtId="0" fontId="98" fillId="26" borderId="15" xfId="0" applyNumberFormat="1" applyFont="1" applyFill="1" applyBorder="1" applyAlignment="1" applyProtection="1">
      <alignment horizontal="center" vertical="center" wrapText="1"/>
      <protection locked="0"/>
    </xf>
    <xf numFmtId="0" fontId="98" fillId="26" borderId="19" xfId="0" applyNumberFormat="1" applyFont="1" applyFill="1" applyBorder="1" applyAlignment="1" applyProtection="1">
      <alignment horizontal="center" vertical="center" wrapText="1"/>
      <protection locked="0"/>
    </xf>
    <xf numFmtId="0" fontId="99" fillId="26" borderId="17" xfId="0" applyNumberFormat="1" applyFont="1" applyFill="1" applyBorder="1" applyAlignment="1" applyProtection="1">
      <alignment horizontal="center" vertical="center" wrapText="1"/>
      <protection locked="0"/>
    </xf>
    <xf numFmtId="0" fontId="99" fillId="26" borderId="41" xfId="0" applyNumberFormat="1" applyFont="1" applyFill="1" applyBorder="1" applyAlignment="1" applyProtection="1">
      <alignment horizontal="center" vertical="center" wrapText="1"/>
      <protection locked="0"/>
    </xf>
    <xf numFmtId="0" fontId="99" fillId="26" borderId="18" xfId="0" applyNumberFormat="1" applyFont="1" applyFill="1" applyBorder="1" applyAlignment="1" applyProtection="1">
      <alignment horizontal="center" vertical="center" wrapText="1"/>
      <protection locked="0"/>
    </xf>
    <xf numFmtId="0" fontId="99" fillId="26" borderId="65" xfId="0" applyNumberFormat="1" applyFont="1" applyFill="1" applyBorder="1" applyAlignment="1" applyProtection="1">
      <alignment horizontal="center" vertical="center" wrapText="1"/>
      <protection locked="0"/>
    </xf>
    <xf numFmtId="0" fontId="99" fillId="26" borderId="15" xfId="0" applyNumberFormat="1" applyFont="1" applyFill="1" applyBorder="1" applyAlignment="1" applyProtection="1">
      <alignment horizontal="center" vertical="center" wrapText="1"/>
      <protection locked="0"/>
    </xf>
    <xf numFmtId="0" fontId="99" fillId="26" borderId="19" xfId="0" applyNumberFormat="1" applyFont="1" applyFill="1" applyBorder="1" applyAlignment="1" applyProtection="1">
      <alignment horizontal="center" vertical="center" wrapText="1"/>
      <protection locked="0"/>
    </xf>
    <xf numFmtId="0" fontId="99" fillId="26" borderId="54" xfId="0" applyNumberFormat="1" applyFont="1" applyFill="1" applyBorder="1" applyAlignment="1" applyProtection="1">
      <alignment horizontal="center" vertical="center" wrapText="1"/>
      <protection locked="0"/>
    </xf>
    <xf numFmtId="0" fontId="98" fillId="26" borderId="16" xfId="0" applyNumberFormat="1" applyFont="1" applyFill="1" applyBorder="1" applyAlignment="1" applyProtection="1">
      <alignment horizontal="center" vertical="center" wrapText="1"/>
    </xf>
    <xf numFmtId="0" fontId="98" fillId="26" borderId="63" xfId="0" applyNumberFormat="1" applyFont="1" applyFill="1" applyBorder="1" applyAlignment="1" applyProtection="1">
      <alignment horizontal="center" vertical="center" wrapText="1"/>
    </xf>
    <xf numFmtId="0" fontId="99" fillId="26" borderId="23" xfId="0" applyNumberFormat="1" applyFont="1" applyFill="1" applyBorder="1" applyAlignment="1" applyProtection="1">
      <alignment horizontal="center" vertical="center" wrapText="1"/>
    </xf>
    <xf numFmtId="0" fontId="99" fillId="26" borderId="76" xfId="0" applyNumberFormat="1" applyFont="1" applyFill="1" applyBorder="1" applyAlignment="1" applyProtection="1">
      <alignment horizontal="center" vertical="center" wrapText="1"/>
    </xf>
    <xf numFmtId="0" fontId="99" fillId="26" borderId="63" xfId="0" applyNumberFormat="1" applyFont="1" applyFill="1" applyBorder="1" applyAlignment="1" applyProtection="1">
      <alignment horizontal="center" vertical="center" wrapText="1"/>
    </xf>
    <xf numFmtId="0" fontId="99" fillId="26" borderId="61" xfId="0" applyNumberFormat="1" applyFont="1" applyFill="1" applyBorder="1" applyAlignment="1" applyProtection="1">
      <alignment horizontal="center" vertical="center" wrapText="1"/>
    </xf>
    <xf numFmtId="0" fontId="99" fillId="26" borderId="49" xfId="0" applyNumberFormat="1" applyFont="1" applyFill="1" applyBorder="1" applyAlignment="1" applyProtection="1">
      <alignment horizontal="center" vertical="center" wrapText="1"/>
    </xf>
    <xf numFmtId="0" fontId="99" fillId="26" borderId="16" xfId="0" applyNumberFormat="1" applyFont="1" applyFill="1" applyBorder="1" applyAlignment="1" applyProtection="1">
      <alignment horizontal="center" vertical="center" wrapText="1"/>
    </xf>
    <xf numFmtId="0" fontId="99" fillId="26" borderId="20" xfId="0" applyNumberFormat="1" applyFont="1" applyFill="1" applyBorder="1" applyAlignment="1" applyProtection="1">
      <alignment horizontal="center" vertical="center" wrapText="1"/>
    </xf>
    <xf numFmtId="0" fontId="99" fillId="26" borderId="22" xfId="0" applyNumberFormat="1" applyFont="1" applyFill="1" applyBorder="1" applyAlignment="1" applyProtection="1">
      <alignment horizontal="center" vertical="center" wrapText="1"/>
    </xf>
    <xf numFmtId="0" fontId="99" fillId="26" borderId="73" xfId="0" applyNumberFormat="1" applyFont="1" applyFill="1" applyBorder="1" applyAlignment="1" applyProtection="1">
      <alignment horizontal="center" vertical="center" wrapText="1"/>
    </xf>
    <xf numFmtId="0" fontId="99" fillId="26" borderId="12" xfId="0" applyNumberFormat="1" applyFont="1" applyFill="1" applyBorder="1" applyAlignment="1" applyProtection="1">
      <alignment horizontal="center" vertical="center" wrapText="1"/>
    </xf>
    <xf numFmtId="0" fontId="99" fillId="26" borderId="58" xfId="0" applyNumberFormat="1" applyFont="1" applyFill="1" applyBorder="1" applyAlignment="1" applyProtection="1">
      <alignment horizontal="center" vertical="center" wrapText="1"/>
    </xf>
    <xf numFmtId="0" fontId="99" fillId="26" borderId="21" xfId="0" applyNumberFormat="1" applyFont="1" applyFill="1" applyBorder="1" applyAlignment="1" applyProtection="1">
      <alignment horizontal="center" vertical="center" wrapText="1"/>
    </xf>
    <xf numFmtId="1" fontId="97" fillId="17" borderId="4" xfId="0" applyNumberFormat="1" applyFont="1" applyFill="1" applyBorder="1" applyAlignment="1" applyProtection="1">
      <alignment horizontal="center" vertical="center"/>
    </xf>
    <xf numFmtId="1" fontId="97" fillId="17" borderId="69" xfId="0" applyNumberFormat="1" applyFont="1" applyFill="1" applyBorder="1" applyAlignment="1" applyProtection="1">
      <alignment horizontal="center" vertical="center"/>
    </xf>
    <xf numFmtId="1" fontId="41" fillId="17" borderId="1" xfId="0" applyNumberFormat="1" applyFont="1" applyFill="1" applyBorder="1" applyAlignment="1" applyProtection="1">
      <alignment horizontal="center" vertical="center"/>
    </xf>
    <xf numFmtId="0" fontId="95" fillId="19" borderId="20" xfId="0" applyNumberFormat="1" applyFont="1" applyFill="1" applyBorder="1" applyAlignment="1" applyProtection="1">
      <alignment horizontal="center" vertical="center" wrapText="1"/>
      <protection locked="0"/>
    </xf>
    <xf numFmtId="0" fontId="95" fillId="19" borderId="22" xfId="0" applyNumberFormat="1" applyFont="1" applyFill="1" applyBorder="1" applyAlignment="1" applyProtection="1">
      <alignment horizontal="center" vertical="center" wrapText="1"/>
      <protection locked="0"/>
    </xf>
    <xf numFmtId="1" fontId="41" fillId="17" borderId="15" xfId="0" applyNumberFormat="1" applyFont="1" applyFill="1" applyBorder="1" applyAlignment="1">
      <alignment horizontal="center" vertical="center"/>
    </xf>
    <xf numFmtId="1" fontId="41" fillId="17" borderId="19" xfId="0" applyNumberFormat="1" applyFont="1" applyFill="1" applyBorder="1" applyAlignment="1">
      <alignment horizontal="center" vertical="center"/>
    </xf>
    <xf numFmtId="1" fontId="41" fillId="17" borderId="17" xfId="0" applyNumberFormat="1" applyFont="1" applyFill="1" applyBorder="1" applyAlignment="1">
      <alignment horizontal="center" vertical="center"/>
    </xf>
    <xf numFmtId="1" fontId="41" fillId="17" borderId="41" xfId="0" applyNumberFormat="1" applyFont="1" applyFill="1" applyBorder="1" applyAlignment="1">
      <alignment horizontal="center" vertical="center"/>
    </xf>
    <xf numFmtId="1" fontId="41" fillId="17" borderId="18" xfId="0" applyNumberFormat="1" applyFont="1" applyFill="1" applyBorder="1" applyAlignment="1">
      <alignment horizontal="center" vertical="center"/>
    </xf>
    <xf numFmtId="1" fontId="41" fillId="17" borderId="51" xfId="0" applyNumberFormat="1" applyFont="1" applyFill="1" applyBorder="1" applyAlignment="1">
      <alignment horizontal="center" vertical="center"/>
    </xf>
    <xf numFmtId="1" fontId="41" fillId="17" borderId="36" xfId="0" applyNumberFormat="1" applyFont="1" applyFill="1" applyBorder="1" applyAlignment="1">
      <alignment horizontal="center" vertical="center"/>
    </xf>
    <xf numFmtId="1" fontId="41" fillId="17" borderId="39" xfId="0" applyNumberFormat="1" applyFont="1" applyFill="1" applyBorder="1" applyAlignment="1">
      <alignment horizontal="center" vertical="center"/>
    </xf>
    <xf numFmtId="0" fontId="95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95" fillId="5" borderId="41" xfId="0" applyNumberFormat="1" applyFont="1" applyFill="1" applyBorder="1" applyAlignment="1" applyProtection="1">
      <alignment horizontal="center" vertical="center" wrapText="1"/>
      <protection locked="0"/>
    </xf>
    <xf numFmtId="0" fontId="9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41" fillId="17" borderId="7" xfId="0" applyNumberFormat="1" applyFont="1" applyFill="1" applyBorder="1" applyAlignment="1" applyProtection="1">
      <alignment horizontal="center" vertical="center"/>
      <protection locked="0"/>
    </xf>
    <xf numFmtId="1" fontId="41" fillId="17" borderId="37" xfId="0" applyNumberFormat="1" applyFont="1" applyFill="1" applyBorder="1" applyAlignment="1" applyProtection="1">
      <alignment horizontal="center" vertical="center"/>
      <protection locked="0"/>
    </xf>
    <xf numFmtId="1" fontId="41" fillId="17" borderId="38" xfId="0" applyNumberFormat="1" applyFont="1" applyFill="1" applyBorder="1" applyAlignment="1">
      <alignment horizontal="center" vertical="center"/>
    </xf>
    <xf numFmtId="1" fontId="30" fillId="0" borderId="33" xfId="0" applyNumberFormat="1" applyFont="1" applyBorder="1" applyAlignment="1">
      <alignment horizontal="center" vertical="center"/>
    </xf>
    <xf numFmtId="1" fontId="22" fillId="20" borderId="34" xfId="0" applyNumberFormat="1" applyFont="1" applyFill="1" applyBorder="1" applyAlignment="1">
      <alignment horizontal="center" vertical="center"/>
    </xf>
    <xf numFmtId="1" fontId="22" fillId="5" borderId="10" xfId="0" applyNumberFormat="1" applyFont="1" applyFill="1" applyBorder="1" applyAlignment="1" applyProtection="1">
      <alignment horizontal="center" vertical="center"/>
      <protection locked="0"/>
    </xf>
    <xf numFmtId="165" fontId="30" fillId="21" borderId="9" xfId="0" applyNumberFormat="1" applyFont="1" applyFill="1" applyBorder="1" applyAlignment="1" applyProtection="1">
      <alignment horizontal="center" vertical="center"/>
    </xf>
    <xf numFmtId="1" fontId="30" fillId="0" borderId="17" xfId="0" applyNumberFormat="1" applyFont="1" applyBorder="1" applyAlignment="1">
      <alignment horizontal="center" vertical="center"/>
    </xf>
    <xf numFmtId="1" fontId="22" fillId="20" borderId="18" xfId="0" applyNumberFormat="1" applyFont="1" applyFill="1" applyBorder="1" applyAlignment="1">
      <alignment horizontal="center" vertical="center"/>
    </xf>
    <xf numFmtId="1" fontId="22" fillId="5" borderId="65" xfId="0" applyNumberFormat="1" applyFont="1" applyFill="1" applyBorder="1" applyAlignment="1" applyProtection="1">
      <alignment horizontal="center" vertical="center"/>
      <protection locked="0"/>
    </xf>
    <xf numFmtId="165" fontId="30" fillId="21" borderId="15" xfId="0" applyNumberFormat="1" applyFont="1" applyFill="1" applyBorder="1" applyAlignment="1" applyProtection="1">
      <alignment horizontal="center" vertical="center"/>
    </xf>
    <xf numFmtId="1" fontId="22" fillId="20" borderId="65" xfId="0" applyNumberFormat="1" applyFont="1" applyFill="1" applyBorder="1" applyAlignment="1">
      <alignment horizontal="center" vertical="center"/>
    </xf>
    <xf numFmtId="1" fontId="30" fillId="0" borderId="23" xfId="0" applyNumberFormat="1" applyFont="1" applyBorder="1" applyAlignment="1">
      <alignment horizontal="center" vertical="center"/>
    </xf>
    <xf numFmtId="1" fontId="22" fillId="20" borderId="61" xfId="0" applyNumberFormat="1" applyFont="1" applyFill="1" applyBorder="1" applyAlignment="1">
      <alignment horizontal="center" vertical="center"/>
    </xf>
    <xf numFmtId="1" fontId="22" fillId="5" borderId="49" xfId="0" applyNumberFormat="1" applyFont="1" applyFill="1" applyBorder="1" applyAlignment="1" applyProtection="1">
      <alignment horizontal="center" vertical="center"/>
      <protection locked="0"/>
    </xf>
    <xf numFmtId="165" fontId="30" fillId="21" borderId="11" xfId="0" applyNumberFormat="1" applyFont="1" applyFill="1" applyBorder="1" applyAlignment="1" applyProtection="1">
      <alignment horizontal="center" vertical="center"/>
    </xf>
    <xf numFmtId="0" fontId="100" fillId="14" borderId="7" xfId="0" applyFont="1" applyFill="1" applyBorder="1" applyAlignment="1" applyProtection="1">
      <alignment horizontal="center" vertical="center" wrapText="1"/>
    </xf>
    <xf numFmtId="0" fontId="100" fillId="14" borderId="37" xfId="0" applyFont="1" applyFill="1" applyBorder="1" applyAlignment="1" applyProtection="1">
      <alignment horizontal="center" vertical="center" wrapText="1"/>
    </xf>
    <xf numFmtId="0" fontId="100" fillId="14" borderId="38" xfId="0" applyFont="1" applyFill="1" applyBorder="1" applyAlignment="1" applyProtection="1">
      <alignment horizontal="center" vertical="center" wrapText="1"/>
    </xf>
    <xf numFmtId="0" fontId="29" fillId="14" borderId="35" xfId="0" applyFont="1" applyFill="1" applyBorder="1" applyAlignment="1" applyProtection="1">
      <alignment horizontal="center" vertical="center" wrapText="1"/>
    </xf>
    <xf numFmtId="0" fontId="29" fillId="0" borderId="36" xfId="0" applyFont="1" applyFill="1" applyBorder="1" applyAlignment="1" applyProtection="1">
      <alignment horizontal="center" vertical="center" wrapText="1"/>
      <protection locked="0"/>
    </xf>
    <xf numFmtId="0" fontId="29" fillId="14" borderId="36" xfId="0" applyNumberFormat="1" applyFont="1" applyFill="1" applyBorder="1" applyAlignment="1" applyProtection="1">
      <alignment horizontal="center" vertical="center" wrapText="1"/>
      <protection locked="0"/>
    </xf>
    <xf numFmtId="0" fontId="29" fillId="14" borderId="39" xfId="0" applyNumberFormat="1" applyFont="1" applyFill="1" applyBorder="1" applyAlignment="1" applyProtection="1">
      <alignment horizontal="center" vertical="center" wrapText="1"/>
      <protection locked="0"/>
    </xf>
    <xf numFmtId="0" fontId="29" fillId="14" borderId="35" xfId="0" applyNumberFormat="1" applyFont="1" applyFill="1" applyBorder="1" applyAlignment="1" applyProtection="1">
      <alignment horizontal="center" vertical="center" wrapText="1"/>
      <protection locked="0"/>
    </xf>
    <xf numFmtId="0" fontId="100" fillId="14" borderId="36" xfId="0" applyNumberFormat="1" applyFont="1" applyFill="1" applyBorder="1" applyAlignment="1" applyProtection="1">
      <alignment horizontal="center" vertical="center" wrapText="1"/>
    </xf>
    <xf numFmtId="0" fontId="100" fillId="14" borderId="19" xfId="0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 applyProtection="1">
      <alignment horizontal="center" vertical="center" wrapText="1"/>
      <protection locked="0"/>
    </xf>
    <xf numFmtId="0" fontId="29" fillId="14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14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14" borderId="19" xfId="0" applyNumberFormat="1" applyFont="1" applyFill="1" applyBorder="1" applyAlignment="1" applyProtection="1">
      <alignment horizontal="center" vertical="center" wrapText="1"/>
      <protection locked="0"/>
    </xf>
    <xf numFmtId="0" fontId="100" fillId="14" borderId="17" xfId="0" applyNumberFormat="1" applyFont="1" applyFill="1" applyBorder="1" applyAlignment="1" applyProtection="1">
      <alignment horizontal="center" vertical="center" wrapText="1"/>
    </xf>
    <xf numFmtId="0" fontId="100" fillId="14" borderId="63" xfId="0" applyFont="1" applyFill="1" applyBorder="1" applyAlignment="1" applyProtection="1">
      <alignment horizontal="center" vertical="center" wrapText="1"/>
    </xf>
    <xf numFmtId="0" fontId="29" fillId="0" borderId="23" xfId="0" applyFont="1" applyFill="1" applyBorder="1" applyAlignment="1" applyProtection="1">
      <alignment horizontal="center" vertical="center" wrapText="1"/>
      <protection locked="0"/>
    </xf>
    <xf numFmtId="0" fontId="29" fillId="14" borderId="23" xfId="0" applyNumberFormat="1" applyFont="1" applyFill="1" applyBorder="1" applyAlignment="1" applyProtection="1">
      <alignment horizontal="center" vertical="center" wrapText="1"/>
      <protection locked="0"/>
    </xf>
    <xf numFmtId="0" fontId="29" fillId="14" borderId="61" xfId="0" applyNumberFormat="1" applyFont="1" applyFill="1" applyBorder="1" applyAlignment="1" applyProtection="1">
      <alignment horizontal="center" vertical="center" wrapText="1"/>
      <protection locked="0"/>
    </xf>
    <xf numFmtId="0" fontId="29" fillId="14" borderId="63" xfId="0" applyNumberFormat="1" applyFont="1" applyFill="1" applyBorder="1" applyAlignment="1" applyProtection="1">
      <alignment horizontal="center" vertical="center" wrapText="1"/>
      <protection locked="0"/>
    </xf>
    <xf numFmtId="0" fontId="100" fillId="14" borderId="23" xfId="0" applyNumberFormat="1" applyFont="1" applyFill="1" applyBorder="1" applyAlignment="1" applyProtection="1">
      <alignment horizontal="center" vertical="center" wrapText="1"/>
    </xf>
    <xf numFmtId="0" fontId="100" fillId="8" borderId="7" xfId="0" applyFont="1" applyFill="1" applyBorder="1" applyAlignment="1" applyProtection="1">
      <alignment horizontal="center" vertical="center" wrapText="1"/>
    </xf>
    <xf numFmtId="0" fontId="100" fillId="8" borderId="37" xfId="0" applyFont="1" applyFill="1" applyBorder="1" applyAlignment="1" applyProtection="1">
      <alignment horizontal="center" vertical="center" wrapText="1"/>
    </xf>
    <xf numFmtId="0" fontId="100" fillId="8" borderId="38" xfId="0" applyFont="1" applyFill="1" applyBorder="1" applyAlignment="1" applyProtection="1">
      <alignment horizontal="center" vertical="center" wrapText="1"/>
    </xf>
    <xf numFmtId="0" fontId="29" fillId="8" borderId="35" xfId="0" applyFont="1" applyFill="1" applyBorder="1" applyAlignment="1" applyProtection="1">
      <alignment horizontal="center" vertical="center" wrapText="1"/>
    </xf>
    <xf numFmtId="0" fontId="29" fillId="8" borderId="36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39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35" xfId="0" applyNumberFormat="1" applyFont="1" applyFill="1" applyBorder="1" applyAlignment="1" applyProtection="1">
      <alignment horizontal="center" vertical="center" wrapText="1"/>
      <protection locked="0"/>
    </xf>
    <xf numFmtId="0" fontId="100" fillId="8" borderId="36" xfId="0" applyNumberFormat="1" applyFont="1" applyFill="1" applyBorder="1" applyAlignment="1" applyProtection="1">
      <alignment horizontal="center" vertical="center" wrapText="1"/>
    </xf>
    <xf numFmtId="0" fontId="100" fillId="8" borderId="19" xfId="0" applyFont="1" applyFill="1" applyBorder="1" applyAlignment="1" applyProtection="1">
      <alignment horizontal="center" vertical="center" wrapText="1"/>
    </xf>
    <xf numFmtId="0" fontId="29" fillId="8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19" xfId="0" applyNumberFormat="1" applyFont="1" applyFill="1" applyBorder="1" applyAlignment="1" applyProtection="1">
      <alignment horizontal="center" vertical="center" wrapText="1"/>
      <protection locked="0"/>
    </xf>
    <xf numFmtId="0" fontId="100" fillId="8" borderId="17" xfId="0" applyNumberFormat="1" applyFont="1" applyFill="1" applyBorder="1" applyAlignment="1" applyProtection="1">
      <alignment horizontal="center" vertical="center" wrapText="1"/>
    </xf>
    <xf numFmtId="0" fontId="100" fillId="8" borderId="63" xfId="0" applyFont="1" applyFill="1" applyBorder="1" applyAlignment="1" applyProtection="1">
      <alignment horizontal="center" vertical="center" wrapText="1"/>
    </xf>
    <xf numFmtId="0" fontId="29" fillId="8" borderId="23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61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63" xfId="0" applyNumberFormat="1" applyFont="1" applyFill="1" applyBorder="1" applyAlignment="1" applyProtection="1">
      <alignment horizontal="center" vertical="center" wrapText="1"/>
      <protection locked="0"/>
    </xf>
    <xf numFmtId="0" fontId="100" fillId="8" borderId="23" xfId="0" applyNumberFormat="1" applyFont="1" applyFill="1" applyBorder="1" applyAlignment="1" applyProtection="1">
      <alignment horizontal="center" vertical="center" wrapText="1"/>
    </xf>
    <xf numFmtId="0" fontId="93" fillId="23" borderId="7" xfId="0" applyFont="1" applyFill="1" applyBorder="1" applyAlignment="1" applyProtection="1">
      <alignment horizontal="center" vertical="center" wrapText="1"/>
    </xf>
    <xf numFmtId="0" fontId="93" fillId="23" borderId="37" xfId="0" applyFont="1" applyFill="1" applyBorder="1" applyAlignment="1" applyProtection="1">
      <alignment horizontal="center" vertical="center" wrapText="1"/>
    </xf>
    <xf numFmtId="0" fontId="93" fillId="23" borderId="38" xfId="0" applyFont="1" applyFill="1" applyBorder="1" applyAlignment="1" applyProtection="1">
      <alignment horizontal="center" vertical="center" wrapText="1"/>
    </xf>
    <xf numFmtId="0" fontId="67" fillId="23" borderId="35" xfId="0" applyFont="1" applyFill="1" applyBorder="1" applyAlignment="1" applyProtection="1">
      <alignment horizontal="center" vertical="center" wrapText="1"/>
    </xf>
    <xf numFmtId="0" fontId="67" fillId="0" borderId="36" xfId="0" applyFont="1" applyFill="1" applyBorder="1" applyAlignment="1" applyProtection="1">
      <alignment horizontal="center" vertical="center" wrapText="1"/>
    </xf>
    <xf numFmtId="0" fontId="67" fillId="23" borderId="36" xfId="0" applyFont="1" applyFill="1" applyBorder="1" applyAlignment="1" applyProtection="1">
      <alignment horizontal="center" vertical="center" wrapText="1"/>
    </xf>
    <xf numFmtId="0" fontId="67" fillId="23" borderId="39" xfId="0" applyFont="1" applyFill="1" applyBorder="1" applyAlignment="1" applyProtection="1">
      <alignment horizontal="center" vertical="center" wrapText="1"/>
    </xf>
    <xf numFmtId="0" fontId="93" fillId="23" borderId="36" xfId="0" applyFont="1" applyFill="1" applyBorder="1" applyAlignment="1" applyProtection="1">
      <alignment horizontal="center" vertical="center" wrapText="1"/>
    </xf>
    <xf numFmtId="0" fontId="93" fillId="23" borderId="19" xfId="0" applyFont="1" applyFill="1" applyBorder="1" applyAlignment="1" applyProtection="1">
      <alignment horizontal="center" vertical="center" wrapText="1"/>
    </xf>
    <xf numFmtId="0" fontId="67" fillId="0" borderId="17" xfId="0" applyFont="1" applyFill="1" applyBorder="1" applyAlignment="1" applyProtection="1">
      <alignment horizontal="center" vertical="center" wrapText="1"/>
    </xf>
    <xf numFmtId="0" fontId="67" fillId="23" borderId="17" xfId="0" applyFont="1" applyFill="1" applyBorder="1" applyAlignment="1" applyProtection="1">
      <alignment horizontal="center" vertical="center" wrapText="1"/>
    </xf>
    <xf numFmtId="0" fontId="67" fillId="23" borderId="18" xfId="0" applyFont="1" applyFill="1" applyBorder="1" applyAlignment="1" applyProtection="1">
      <alignment horizontal="center" vertical="center" wrapText="1"/>
    </xf>
    <xf numFmtId="0" fontId="93" fillId="23" borderId="17" xfId="0" applyFont="1" applyFill="1" applyBorder="1" applyAlignment="1" applyProtection="1">
      <alignment horizontal="center" vertical="center" wrapText="1"/>
    </xf>
    <xf numFmtId="0" fontId="67" fillId="23" borderId="19" xfId="0" applyFont="1" applyFill="1" applyBorder="1" applyAlignment="1" applyProtection="1">
      <alignment horizontal="center" vertical="center" wrapText="1"/>
    </xf>
    <xf numFmtId="0" fontId="93" fillId="23" borderId="20" xfId="0" applyFont="1" applyFill="1" applyBorder="1" applyAlignment="1" applyProtection="1">
      <alignment horizontal="center" vertical="center" wrapText="1"/>
    </xf>
    <xf numFmtId="0" fontId="67" fillId="0" borderId="22" xfId="0" applyFont="1" applyFill="1" applyBorder="1" applyAlignment="1" applyProtection="1">
      <alignment horizontal="center" vertical="center" wrapText="1"/>
    </xf>
    <xf numFmtId="0" fontId="67" fillId="23" borderId="22" xfId="0" applyFont="1" applyFill="1" applyBorder="1" applyAlignment="1" applyProtection="1">
      <alignment horizontal="center" vertical="center" wrapText="1"/>
    </xf>
    <xf numFmtId="0" fontId="67" fillId="23" borderId="21" xfId="0" applyFont="1" applyFill="1" applyBorder="1" applyAlignment="1" applyProtection="1">
      <alignment horizontal="center" vertical="center" wrapText="1"/>
    </xf>
    <xf numFmtId="0" fontId="93" fillId="23" borderId="22" xfId="0" applyFont="1" applyFill="1" applyBorder="1" applyAlignment="1" applyProtection="1">
      <alignment horizontal="center" vertical="center" wrapText="1"/>
    </xf>
    <xf numFmtId="0" fontId="67" fillId="23" borderId="20" xfId="0" applyFont="1" applyFill="1" applyBorder="1" applyAlignment="1" applyProtection="1">
      <alignment horizontal="center" vertical="center" wrapText="1"/>
    </xf>
    <xf numFmtId="1" fontId="93" fillId="0" borderId="32" xfId="0" applyNumberFormat="1" applyFont="1" applyFill="1" applyBorder="1" applyAlignment="1" applyProtection="1">
      <alignment horizontal="center" vertical="center"/>
    </xf>
    <xf numFmtId="1" fontId="93" fillId="0" borderId="33" xfId="0" applyNumberFormat="1" applyFont="1" applyFill="1" applyBorder="1" applyAlignment="1" applyProtection="1">
      <alignment horizontal="center" vertical="center"/>
      <protection locked="0"/>
    </xf>
    <xf numFmtId="1" fontId="93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93" fillId="23" borderId="77" xfId="0" applyNumberFormat="1" applyFont="1" applyFill="1" applyBorder="1" applyAlignment="1" applyProtection="1">
      <alignment horizontal="center" vertical="center"/>
      <protection locked="0"/>
    </xf>
    <xf numFmtId="1" fontId="93" fillId="23" borderId="33" xfId="0" applyNumberFormat="1" applyFont="1" applyFill="1" applyBorder="1" applyAlignment="1" applyProtection="1">
      <alignment horizontal="center" vertical="center"/>
      <protection locked="0"/>
    </xf>
    <xf numFmtId="1" fontId="93" fillId="23" borderId="33" xfId="0" applyNumberFormat="1" applyFont="1" applyFill="1" applyBorder="1" applyAlignment="1" applyProtection="1">
      <alignment horizontal="center" vertical="center" wrapText="1"/>
      <protection locked="0"/>
    </xf>
    <xf numFmtId="1" fontId="93" fillId="23" borderId="34" xfId="0" applyNumberFormat="1" applyFont="1" applyFill="1" applyBorder="1" applyAlignment="1" applyProtection="1">
      <alignment horizontal="center" vertical="center"/>
      <protection locked="0"/>
    </xf>
    <xf numFmtId="0" fontId="100" fillId="0" borderId="20" xfId="0" applyNumberFormat="1" applyFont="1" applyFill="1" applyBorder="1" applyAlignment="1" applyProtection="1">
      <alignment horizontal="center" vertical="center" wrapText="1"/>
    </xf>
    <xf numFmtId="0" fontId="29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58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0" fontId="10" fillId="2" borderId="3" xfId="0" applyFont="1" applyFill="1" applyBorder="1" applyAlignment="1" applyProtection="1">
      <alignment horizontal="center" vertical="center"/>
    </xf>
    <xf numFmtId="0" fontId="10" fillId="10" borderId="20" xfId="0" applyFont="1" applyFill="1" applyBorder="1" applyAlignment="1">
      <alignment horizontal="left" vertical="center" wrapText="1"/>
    </xf>
    <xf numFmtId="0" fontId="0" fillId="0" borderId="22" xfId="0" applyBorder="1"/>
    <xf numFmtId="0" fontId="10" fillId="10" borderId="1" xfId="0" applyFont="1" applyFill="1" applyBorder="1" applyAlignment="1" applyProtection="1">
      <alignment horizontal="center" vertical="center"/>
    </xf>
    <xf numFmtId="0" fontId="54" fillId="0" borderId="0" xfId="0" applyFont="1" applyFill="1"/>
    <xf numFmtId="0" fontId="101" fillId="0" borderId="0" xfId="0" applyFont="1" applyFill="1" applyAlignment="1">
      <alignment vertical="center" wrapText="1"/>
    </xf>
    <xf numFmtId="0" fontId="47" fillId="0" borderId="0" xfId="0" applyFont="1" applyFill="1" applyAlignment="1">
      <alignment horizontal="left" vertical="center" wrapText="1" indent="1"/>
    </xf>
    <xf numFmtId="0" fontId="54" fillId="0" borderId="0" xfId="0" applyFont="1" applyFill="1" applyAlignment="1">
      <alignment horizontal="left" vertical="center" wrapText="1" indent="1"/>
    </xf>
    <xf numFmtId="0" fontId="19" fillId="21" borderId="17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 wrapText="1"/>
    </xf>
    <xf numFmtId="0" fontId="19" fillId="6" borderId="54" xfId="0" applyFont="1" applyFill="1" applyBorder="1" applyAlignment="1" applyProtection="1">
      <alignment horizontal="center" vertical="center" wrapText="1"/>
    </xf>
    <xf numFmtId="0" fontId="19" fillId="6" borderId="58" xfId="0" applyFont="1" applyFill="1" applyBorder="1" applyAlignment="1">
      <alignment horizontal="center" vertical="center" wrapText="1"/>
    </xf>
    <xf numFmtId="0" fontId="19" fillId="25" borderId="56" xfId="0" applyFont="1" applyFill="1" applyBorder="1" applyAlignment="1">
      <alignment horizontal="center" vertical="center" wrapText="1"/>
    </xf>
    <xf numFmtId="0" fontId="98" fillId="25" borderId="19" xfId="0" applyNumberFormat="1" applyFont="1" applyFill="1" applyBorder="1" applyAlignment="1" applyProtection="1">
      <alignment horizontal="center" vertical="center" wrapText="1"/>
      <protection locked="0"/>
    </xf>
    <xf numFmtId="0" fontId="104" fillId="5" borderId="0" xfId="0" applyFont="1" applyFill="1" applyAlignment="1" applyProtection="1">
      <alignment horizontal="left" vertical="center" wrapText="1"/>
    </xf>
    <xf numFmtId="0" fontId="23" fillId="14" borderId="9" xfId="0" applyFont="1" applyFill="1" applyBorder="1" applyAlignment="1" applyProtection="1">
      <alignment horizontal="center" vertical="center" wrapText="1"/>
    </xf>
    <xf numFmtId="0" fontId="14" fillId="10" borderId="80" xfId="0" applyFont="1" applyFill="1" applyBorder="1" applyAlignment="1">
      <alignment horizontal="left" wrapText="1" indent="1"/>
    </xf>
    <xf numFmtId="0" fontId="14" fillId="10" borderId="80" xfId="0" applyFont="1" applyFill="1" applyBorder="1" applyAlignment="1">
      <alignment horizontal="left" vertical="center" wrapText="1" indent="1"/>
    </xf>
    <xf numFmtId="0" fontId="29" fillId="0" borderId="36" xfId="0" applyFont="1" applyFill="1" applyBorder="1" applyAlignment="1" applyProtection="1">
      <alignment horizontal="center" vertical="center" wrapText="1"/>
    </xf>
    <xf numFmtId="0" fontId="93" fillId="23" borderId="39" xfId="0" applyFont="1" applyFill="1" applyBorder="1" applyAlignment="1" applyProtection="1">
      <alignment horizontal="center" vertical="center" wrapText="1"/>
    </xf>
    <xf numFmtId="0" fontId="93" fillId="23" borderId="35" xfId="0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 applyProtection="1">
      <alignment horizontal="center" vertical="center" wrapText="1"/>
    </xf>
    <xf numFmtId="0" fontId="93" fillId="23" borderId="18" xfId="0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93" fillId="23" borderId="21" xfId="0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 applyProtection="1">
      <alignment horizontal="right" vertical="center"/>
    </xf>
    <xf numFmtId="1" fontId="20" fillId="6" borderId="17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102" fillId="5" borderId="0" xfId="0" applyFont="1" applyFill="1" applyAlignment="1">
      <alignment vertical="center" wrapText="1"/>
    </xf>
    <xf numFmtId="0" fontId="98" fillId="25" borderId="45" xfId="0" applyNumberFormat="1" applyFont="1" applyFill="1" applyBorder="1" applyAlignment="1" applyProtection="1">
      <alignment horizontal="center" vertical="center" wrapText="1"/>
    </xf>
    <xf numFmtId="0" fontId="98" fillId="25" borderId="1" xfId="0" applyNumberFormat="1" applyFont="1" applyFill="1" applyBorder="1" applyAlignment="1" applyProtection="1">
      <alignment horizontal="center" vertical="center" wrapText="1"/>
    </xf>
    <xf numFmtId="1" fontId="30" fillId="21" borderId="13" xfId="0" applyNumberFormat="1" applyFont="1" applyFill="1" applyBorder="1" applyAlignment="1" applyProtection="1">
      <alignment horizontal="center" vertical="center" wrapText="1"/>
    </xf>
    <xf numFmtId="0" fontId="22" fillId="21" borderId="11" xfId="0" applyNumberFormat="1" applyFont="1" applyFill="1" applyBorder="1" applyAlignment="1" applyProtection="1">
      <alignment horizontal="center" vertical="center" wrapText="1"/>
    </xf>
    <xf numFmtId="1" fontId="96" fillId="5" borderId="60" xfId="0" applyNumberFormat="1" applyFont="1" applyFill="1" applyBorder="1" applyAlignment="1" applyProtection="1">
      <alignment horizontal="center" vertical="center" wrapText="1"/>
    </xf>
    <xf numFmtId="1" fontId="41" fillId="17" borderId="81" xfId="0" applyNumberFormat="1" applyFont="1" applyFill="1" applyBorder="1" applyAlignment="1" applyProtection="1">
      <alignment horizontal="center" vertical="center"/>
    </xf>
    <xf numFmtId="1" fontId="41" fillId="17" borderId="69" xfId="0" applyNumberFormat="1" applyFont="1" applyFill="1" applyBorder="1" applyAlignment="1" applyProtection="1">
      <alignment horizontal="center" vertical="center"/>
    </xf>
    <xf numFmtId="1" fontId="41" fillId="17" borderId="45" xfId="0" applyNumberFormat="1" applyFont="1" applyFill="1" applyBorder="1" applyAlignment="1" applyProtection="1">
      <alignment horizontal="center" vertical="center"/>
    </xf>
    <xf numFmtId="1" fontId="41" fillId="17" borderId="46" xfId="0" applyNumberFormat="1" applyFont="1" applyFill="1" applyBorder="1" applyAlignment="1" applyProtection="1">
      <alignment horizontal="center" vertical="center"/>
    </xf>
    <xf numFmtId="0" fontId="96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98" fillId="25" borderId="33" xfId="0" applyNumberFormat="1" applyFont="1" applyFill="1" applyBorder="1" applyAlignment="1" applyProtection="1">
      <alignment horizontal="center" vertical="center" wrapText="1"/>
    </xf>
    <xf numFmtId="0" fontId="96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96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98" fillId="25" borderId="22" xfId="0" applyNumberFormat="1" applyFont="1" applyFill="1" applyBorder="1" applyAlignment="1" applyProtection="1">
      <alignment horizontal="center" vertical="center" wrapText="1"/>
    </xf>
    <xf numFmtId="0" fontId="95" fillId="19" borderId="21" xfId="0" applyNumberFormat="1" applyFont="1" applyFill="1" applyBorder="1" applyAlignment="1" applyProtection="1">
      <alignment horizontal="center" vertical="center" wrapText="1"/>
      <protection locked="0"/>
    </xf>
    <xf numFmtId="1" fontId="98" fillId="25" borderId="37" xfId="0" applyNumberFormat="1" applyFont="1" applyFill="1" applyBorder="1" applyAlignment="1" applyProtection="1">
      <alignment horizontal="center" vertical="center" wrapText="1"/>
    </xf>
    <xf numFmtId="0" fontId="30" fillId="5" borderId="23" xfId="0" applyFont="1" applyFill="1" applyBorder="1" applyAlignment="1" applyProtection="1">
      <alignment horizontal="center" vertical="center" wrapText="1"/>
      <protection locked="0"/>
    </xf>
    <xf numFmtId="0" fontId="22" fillId="25" borderId="80" xfId="0" applyNumberFormat="1" applyFont="1" applyFill="1" applyBorder="1" applyAlignment="1" applyProtection="1">
      <alignment horizontal="center" vertical="center" wrapText="1"/>
    </xf>
    <xf numFmtId="0" fontId="19" fillId="5" borderId="52" xfId="0" applyFont="1" applyFill="1" applyBorder="1" applyAlignment="1" applyProtection="1">
      <alignment horizontal="center" vertical="center" wrapText="1"/>
      <protection locked="0"/>
    </xf>
    <xf numFmtId="0" fontId="23" fillId="25" borderId="1" xfId="0" applyNumberFormat="1" applyFont="1" applyFill="1" applyBorder="1" applyAlignment="1" applyProtection="1">
      <alignment horizontal="center" vertical="center" wrapText="1"/>
    </xf>
    <xf numFmtId="49" fontId="15" fillId="25" borderId="17" xfId="0" applyNumberFormat="1" applyFont="1" applyFill="1" applyBorder="1" applyAlignment="1" applyProtection="1">
      <alignment horizontal="left" wrapText="1"/>
      <protection locked="0"/>
    </xf>
    <xf numFmtId="1" fontId="23" fillId="25" borderId="1" xfId="0" applyNumberFormat="1" applyFont="1" applyFill="1" applyBorder="1" applyAlignment="1" applyProtection="1">
      <alignment horizontal="center" vertical="center" wrapText="1"/>
    </xf>
    <xf numFmtId="14" fontId="12" fillId="25" borderId="17" xfId="0" applyNumberFormat="1" applyFont="1" applyFill="1" applyBorder="1" applyAlignment="1" applyProtection="1">
      <alignment horizontal="centerContinuous" vertical="center" wrapText="1"/>
      <protection locked="0"/>
    </xf>
    <xf numFmtId="0" fontId="30" fillId="0" borderId="41" xfId="0" applyFont="1" applyFill="1" applyBorder="1" applyAlignment="1">
      <alignment horizontal="center" vertical="center" wrapText="1"/>
    </xf>
    <xf numFmtId="49" fontId="30" fillId="0" borderId="41" xfId="0" applyNumberFormat="1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25" borderId="80" xfId="0" applyFont="1" applyFill="1" applyBorder="1" applyAlignment="1" applyProtection="1">
      <alignment horizontal="center" vertical="center" wrapText="1"/>
    </xf>
    <xf numFmtId="0" fontId="31" fillId="25" borderId="6" xfId="0" applyFont="1" applyFill="1" applyBorder="1" applyAlignment="1" applyProtection="1">
      <alignment vertical="center" wrapText="1"/>
    </xf>
    <xf numFmtId="0" fontId="31" fillId="25" borderId="1" xfId="0" applyFont="1" applyFill="1" applyBorder="1" applyAlignment="1" applyProtection="1">
      <alignment horizontal="center" vertical="center" wrapText="1"/>
    </xf>
    <xf numFmtId="0" fontId="19" fillId="25" borderId="0" xfId="0" applyFont="1" applyFill="1" applyAlignment="1" applyProtection="1">
      <alignment horizontal="justify" vertical="center"/>
    </xf>
    <xf numFmtId="0" fontId="0" fillId="25" borderId="0" xfId="0" applyFill="1" applyProtection="1"/>
    <xf numFmtId="0" fontId="19" fillId="25" borderId="4" xfId="0" applyFont="1" applyFill="1" applyBorder="1" applyAlignment="1" applyProtection="1">
      <alignment horizontal="center" vertical="center" wrapText="1"/>
    </xf>
    <xf numFmtId="0" fontId="19" fillId="25" borderId="6" xfId="0" applyFont="1" applyFill="1" applyBorder="1" applyAlignment="1" applyProtection="1">
      <alignment vertical="center" wrapText="1"/>
    </xf>
    <xf numFmtId="0" fontId="19" fillId="25" borderId="6" xfId="0" applyFont="1" applyFill="1" applyBorder="1" applyAlignment="1" applyProtection="1">
      <alignment horizontal="center" vertical="center" wrapText="1"/>
    </xf>
    <xf numFmtId="0" fontId="31" fillId="28" borderId="1" xfId="0" applyFont="1" applyFill="1" applyBorder="1" applyAlignment="1" applyProtection="1">
      <alignment horizontal="center" vertical="center" wrapText="1"/>
      <protection locked="0"/>
    </xf>
    <xf numFmtId="0" fontId="19" fillId="5" borderId="80" xfId="0" applyFont="1" applyFill="1" applyBorder="1" applyAlignment="1" applyProtection="1">
      <alignment horizontal="center" vertical="center" wrapText="1"/>
      <protection locked="0"/>
    </xf>
    <xf numFmtId="1" fontId="14" fillId="5" borderId="80" xfId="0" applyNumberFormat="1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/>
    </xf>
    <xf numFmtId="0" fontId="32" fillId="0" borderId="30" xfId="0" applyFont="1" applyBorder="1" applyAlignment="1" applyProtection="1">
      <alignment horizontal="center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0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25" borderId="6" xfId="0" applyFont="1" applyFill="1" applyBorder="1" applyAlignment="1" applyProtection="1">
      <alignment horizontal="center" vertical="center" wrapText="1"/>
    </xf>
    <xf numFmtId="0" fontId="19" fillId="25" borderId="30" xfId="0" applyFont="1" applyFill="1" applyBorder="1" applyAlignment="1" applyProtection="1">
      <alignment horizontal="center" vertical="center" wrapText="1"/>
    </xf>
    <xf numFmtId="0" fontId="21" fillId="25" borderId="28" xfId="0" applyFont="1" applyFill="1" applyBorder="1" applyAlignment="1" applyProtection="1">
      <alignment horizontal="center" vertical="center" wrapText="1"/>
      <protection locked="0"/>
    </xf>
    <xf numFmtId="0" fontId="21" fillId="25" borderId="3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justify" vertical="center" wrapText="1"/>
    </xf>
    <xf numFmtId="0" fontId="17" fillId="0" borderId="0" xfId="1" applyAlignment="1" applyProtection="1">
      <alignment horizontal="center" vertical="center" wrapText="1"/>
    </xf>
    <xf numFmtId="0" fontId="19" fillId="25" borderId="3" xfId="0" applyFont="1" applyFill="1" applyBorder="1" applyAlignment="1" applyProtection="1">
      <alignment horizontal="center" vertical="center" wrapText="1"/>
    </xf>
    <xf numFmtId="0" fontId="19" fillId="25" borderId="8" xfId="0" applyFont="1" applyFill="1" applyBorder="1" applyAlignment="1" applyProtection="1">
      <alignment horizontal="center" vertical="center" wrapText="1"/>
    </xf>
    <xf numFmtId="0" fontId="19" fillId="25" borderId="4" xfId="0" applyFont="1" applyFill="1" applyBorder="1" applyAlignment="1" applyProtection="1">
      <alignment horizontal="center" vertical="center" wrapText="1"/>
    </xf>
    <xf numFmtId="0" fontId="19" fillId="25" borderId="31" xfId="0" applyFont="1" applyFill="1" applyBorder="1" applyAlignment="1" applyProtection="1">
      <alignment horizontal="center" vertical="center" wrapText="1"/>
    </xf>
    <xf numFmtId="0" fontId="19" fillId="25" borderId="2" xfId="0" applyFont="1" applyFill="1" applyBorder="1" applyAlignment="1" applyProtection="1">
      <alignment horizontal="center" vertical="center" wrapText="1"/>
    </xf>
    <xf numFmtId="0" fontId="19" fillId="25" borderId="26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31" fillId="25" borderId="6" xfId="0" applyFont="1" applyFill="1" applyBorder="1" applyAlignment="1" applyProtection="1">
      <alignment horizontal="center" vertical="center" wrapText="1"/>
    </xf>
    <xf numFmtId="0" fontId="31" fillId="25" borderId="28" xfId="0" applyFont="1" applyFill="1" applyBorder="1" applyAlignment="1" applyProtection="1">
      <alignment horizontal="center" vertical="center" wrapText="1"/>
    </xf>
    <xf numFmtId="0" fontId="31" fillId="25" borderId="3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26" fillId="0" borderId="19" xfId="0" applyFont="1" applyFill="1" applyBorder="1" applyAlignment="1">
      <alignment horizontal="left" vertical="center" wrapText="1" indent="1"/>
    </xf>
    <xf numFmtId="0" fontId="26" fillId="0" borderId="17" xfId="0" applyFont="1" applyFill="1" applyBorder="1" applyAlignment="1">
      <alignment horizontal="left" vertical="center" wrapText="1" indent="1"/>
    </xf>
    <xf numFmtId="0" fontId="26" fillId="0" borderId="54" xfId="0" applyFont="1" applyFill="1" applyBorder="1" applyAlignment="1">
      <alignment horizontal="left" vertical="center" wrapText="1" indent="1"/>
    </xf>
    <xf numFmtId="0" fontId="18" fillId="0" borderId="0" xfId="0" applyFont="1" applyFill="1" applyAlignment="1">
      <alignment horizontal="left" vertical="center" wrapText="1" indent="1"/>
    </xf>
    <xf numFmtId="0" fontId="18" fillId="0" borderId="26" xfId="0" applyFont="1" applyFill="1" applyBorder="1" applyAlignment="1">
      <alignment horizontal="left" vertical="center" wrapText="1" indent="1"/>
    </xf>
    <xf numFmtId="0" fontId="25" fillId="25" borderId="0" xfId="0" applyFont="1" applyFill="1" applyAlignment="1">
      <alignment horizontal="left" vertical="center" wrapText="1" indent="1"/>
    </xf>
    <xf numFmtId="0" fontId="103" fillId="25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wrapText="1" inden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center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26" fillId="0" borderId="35" xfId="0" applyFont="1" applyFill="1" applyBorder="1" applyAlignment="1">
      <alignment horizontal="left" vertical="center" wrapText="1" indent="1"/>
    </xf>
    <xf numFmtId="0" fontId="26" fillId="0" borderId="36" xfId="0" applyFont="1" applyFill="1" applyBorder="1" applyAlignment="1">
      <alignment horizontal="left" vertical="center" wrapText="1" indent="1"/>
    </xf>
    <xf numFmtId="0" fontId="19" fillId="0" borderId="69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19" fillId="0" borderId="77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6" fillId="0" borderId="24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 indent="1"/>
    </xf>
    <xf numFmtId="0" fontId="20" fillId="0" borderId="0" xfId="0" applyFont="1" applyFill="1" applyAlignment="1">
      <alignment horizontal="center"/>
    </xf>
    <xf numFmtId="0" fontId="101" fillId="0" borderId="4" xfId="0" applyFont="1" applyFill="1" applyBorder="1" applyAlignment="1">
      <alignment horizontal="center" vertical="center" wrapText="1"/>
    </xf>
    <xf numFmtId="0" fontId="101" fillId="0" borderId="31" xfId="0" applyFont="1" applyFill="1" applyBorder="1" applyAlignment="1">
      <alignment horizontal="center" vertical="center" wrapText="1"/>
    </xf>
    <xf numFmtId="0" fontId="101" fillId="0" borderId="2" xfId="0" applyFont="1" applyFill="1" applyBorder="1" applyAlignment="1">
      <alignment horizontal="center" vertical="center" wrapText="1"/>
    </xf>
    <xf numFmtId="0" fontId="101" fillId="0" borderId="26" xfId="0" applyFont="1" applyFill="1" applyBorder="1" applyAlignment="1">
      <alignment horizontal="center" vertical="center" wrapText="1"/>
    </xf>
    <xf numFmtId="0" fontId="101" fillId="0" borderId="5" xfId="0" applyFont="1" applyFill="1" applyBorder="1" applyAlignment="1">
      <alignment horizontal="center" vertical="center" wrapText="1"/>
    </xf>
    <xf numFmtId="0" fontId="101" fillId="0" borderId="7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 indent="1"/>
    </xf>
    <xf numFmtId="0" fontId="19" fillId="0" borderId="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4" fillId="0" borderId="25" xfId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20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 indent="1"/>
    </xf>
    <xf numFmtId="0" fontId="19" fillId="5" borderId="0" xfId="0" applyFont="1" applyFill="1" applyAlignment="1">
      <alignment horizontal="center"/>
    </xf>
    <xf numFmtId="0" fontId="21" fillId="0" borderId="50" xfId="0" applyFont="1" applyFill="1" applyBorder="1" applyAlignment="1">
      <alignment horizontal="center" vertical="center" wrapText="1"/>
    </xf>
    <xf numFmtId="0" fontId="21" fillId="0" borderId="74" xfId="0" applyFont="1" applyFill="1" applyBorder="1" applyAlignment="1">
      <alignment horizontal="center" vertical="center" wrapText="1"/>
    </xf>
    <xf numFmtId="0" fontId="55" fillId="0" borderId="17" xfId="0" applyFont="1" applyBorder="1" applyAlignment="1" applyProtection="1">
      <alignment horizontal="right"/>
    </xf>
    <xf numFmtId="0" fontId="55" fillId="17" borderId="41" xfId="0" applyFont="1" applyFill="1" applyBorder="1" applyAlignment="1" applyProtection="1">
      <alignment horizontal="center" wrapText="1"/>
      <protection hidden="1"/>
    </xf>
    <xf numFmtId="0" fontId="55" fillId="17" borderId="71" xfId="0" applyFont="1" applyFill="1" applyBorder="1" applyAlignment="1" applyProtection="1">
      <alignment horizontal="center" wrapText="1"/>
      <protection hidden="1"/>
    </xf>
    <xf numFmtId="0" fontId="55" fillId="17" borderId="54" xfId="0" applyFont="1" applyFill="1" applyBorder="1" applyAlignment="1" applyProtection="1">
      <alignment horizontal="center" wrapText="1"/>
      <protection hidden="1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25" xfId="0" applyFont="1" applyFill="1" applyBorder="1" applyAlignment="1" applyProtection="1">
      <alignment horizontal="center" vertical="center" wrapText="1"/>
    </xf>
    <xf numFmtId="0" fontId="43" fillId="14" borderId="45" xfId="0" applyFont="1" applyFill="1" applyBorder="1" applyAlignment="1" applyProtection="1">
      <alignment horizontal="center" vertical="center" wrapText="1"/>
    </xf>
    <xf numFmtId="0" fontId="43" fillId="14" borderId="46" xfId="0" applyFont="1" applyFill="1" applyBorder="1" applyAlignment="1" applyProtection="1">
      <alignment horizontal="center" vertical="center" wrapText="1"/>
    </xf>
    <xf numFmtId="0" fontId="43" fillId="14" borderId="47" xfId="0" applyFont="1" applyFill="1" applyBorder="1" applyAlignment="1" applyProtection="1">
      <alignment horizontal="center" vertical="center" wrapText="1"/>
    </xf>
    <xf numFmtId="0" fontId="54" fillId="0" borderId="52" xfId="0" applyFont="1" applyBorder="1" applyAlignment="1" applyProtection="1">
      <alignment horizontal="left" wrapText="1"/>
    </xf>
    <xf numFmtId="0" fontId="23" fillId="13" borderId="10" xfId="0" applyFont="1" applyFill="1" applyBorder="1" applyAlignment="1" applyProtection="1">
      <alignment horizontal="center" vertical="center" wrapText="1"/>
    </xf>
    <xf numFmtId="0" fontId="23" fillId="13" borderId="49" xfId="0" applyFont="1" applyFill="1" applyBorder="1" applyAlignment="1" applyProtection="1">
      <alignment horizontal="center" vertical="center" wrapText="1"/>
    </xf>
    <xf numFmtId="0" fontId="47" fillId="13" borderId="6" xfId="0" applyFont="1" applyFill="1" applyBorder="1" applyAlignment="1" applyProtection="1">
      <alignment horizontal="center" vertical="center" wrapText="1"/>
    </xf>
    <xf numFmtId="0" fontId="47" fillId="13" borderId="30" xfId="0" applyFont="1" applyFill="1" applyBorder="1" applyAlignment="1" applyProtection="1">
      <alignment horizontal="center" vertical="center" wrapText="1"/>
    </xf>
    <xf numFmtId="0" fontId="23" fillId="14" borderId="9" xfId="0" applyFont="1" applyFill="1" applyBorder="1" applyAlignment="1" applyProtection="1">
      <alignment horizontal="center" vertical="center" wrapText="1"/>
    </xf>
    <xf numFmtId="0" fontId="23" fillId="14" borderId="11" xfId="0" applyFont="1" applyFill="1" applyBorder="1" applyAlignment="1" applyProtection="1">
      <alignment horizontal="center"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20" fillId="0" borderId="50" xfId="0" applyFont="1" applyFill="1" applyBorder="1" applyAlignment="1" applyProtection="1">
      <alignment horizontal="center" vertical="center" wrapText="1"/>
    </xf>
    <xf numFmtId="0" fontId="11" fillId="3" borderId="43" xfId="0" applyFont="1" applyFill="1" applyBorder="1" applyAlignment="1" applyProtection="1">
      <alignment horizontal="center" vertical="center" wrapText="1"/>
    </xf>
    <xf numFmtId="0" fontId="11" fillId="3" borderId="48" xfId="0" applyFont="1" applyFill="1" applyBorder="1" applyAlignment="1" applyProtection="1">
      <alignment horizontal="center" vertical="center" wrapText="1"/>
    </xf>
    <xf numFmtId="0" fontId="11" fillId="3" borderId="51" xfId="0" applyFont="1" applyFill="1" applyBorder="1" applyAlignment="1" applyProtection="1">
      <alignment horizontal="center" vertical="center" wrapText="1"/>
    </xf>
    <xf numFmtId="0" fontId="23" fillId="12" borderId="10" xfId="0" applyFont="1" applyFill="1" applyBorder="1" applyAlignment="1" applyProtection="1">
      <alignment horizontal="center" vertical="center" wrapText="1"/>
    </xf>
    <xf numFmtId="0" fontId="23" fillId="12" borderId="49" xfId="0" applyFont="1" applyFill="1" applyBorder="1" applyAlignment="1" applyProtection="1">
      <alignment horizontal="center" vertical="center" wrapText="1"/>
    </xf>
    <xf numFmtId="0" fontId="14" fillId="12" borderId="3" xfId="0" applyFont="1" applyFill="1" applyBorder="1" applyAlignment="1" applyProtection="1">
      <alignment horizontal="center" vertical="top" wrapText="1"/>
    </xf>
    <xf numFmtId="0" fontId="14" fillId="12" borderId="8" xfId="0" applyFont="1" applyFill="1" applyBorder="1" applyAlignment="1" applyProtection="1">
      <alignment horizontal="center" vertical="top" wrapText="1"/>
    </xf>
    <xf numFmtId="0" fontId="23" fillId="8" borderId="10" xfId="0" applyFont="1" applyFill="1" applyBorder="1" applyAlignment="1" applyProtection="1">
      <alignment horizontal="center" vertical="center" wrapText="1"/>
    </xf>
    <xf numFmtId="0" fontId="23" fillId="8" borderId="49" xfId="0" applyFont="1" applyFill="1" applyBorder="1" applyAlignment="1" applyProtection="1">
      <alignment horizontal="center" vertical="center" wrapText="1"/>
    </xf>
    <xf numFmtId="0" fontId="14" fillId="8" borderId="3" xfId="0" applyFont="1" applyFill="1" applyBorder="1" applyAlignment="1" applyProtection="1">
      <alignment horizontal="center" vertical="top" wrapText="1"/>
    </xf>
    <xf numFmtId="0" fontId="14" fillId="8" borderId="8" xfId="0" applyFont="1" applyFill="1" applyBorder="1" applyAlignment="1" applyProtection="1">
      <alignment horizontal="center" vertical="top" wrapText="1"/>
    </xf>
    <xf numFmtId="0" fontId="23" fillId="8" borderId="6" xfId="0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3" fillId="13" borderId="6" xfId="0" applyFont="1" applyFill="1" applyBorder="1" applyAlignment="1" applyProtection="1">
      <alignment horizontal="center" vertical="center" wrapText="1"/>
    </xf>
    <xf numFmtId="0" fontId="0" fillId="13" borderId="28" xfId="0" applyFill="1" applyBorder="1" applyAlignment="1">
      <alignment horizontal="center" vertical="center" wrapText="1"/>
    </xf>
    <xf numFmtId="0" fontId="0" fillId="13" borderId="30" xfId="0" applyFill="1" applyBorder="1" applyAlignment="1">
      <alignment horizontal="center" vertical="center" wrapText="1"/>
    </xf>
    <xf numFmtId="0" fontId="23" fillId="8" borderId="3" xfId="0" applyFont="1" applyFill="1" applyBorder="1" applyAlignment="1" applyProtection="1">
      <alignment horizontal="center" vertical="center" wrapText="1"/>
    </xf>
    <xf numFmtId="0" fontId="23" fillId="8" borderId="8" xfId="0" applyFont="1" applyFill="1" applyBorder="1" applyAlignment="1" applyProtection="1">
      <alignment horizontal="center" vertical="center" wrapText="1"/>
    </xf>
    <xf numFmtId="0" fontId="23" fillId="8" borderId="25" xfId="0" applyFont="1" applyFill="1" applyBorder="1" applyAlignment="1" applyProtection="1">
      <alignment horizontal="center" vertical="center" wrapText="1"/>
    </xf>
    <xf numFmtId="0" fontId="23" fillId="14" borderId="6" xfId="0" applyFont="1" applyFill="1" applyBorder="1" applyAlignment="1" applyProtection="1">
      <alignment horizontal="center" vertical="center" wrapText="1"/>
    </xf>
    <xf numFmtId="0" fontId="0" fillId="14" borderId="30" xfId="0" applyFill="1" applyBorder="1" applyAlignment="1">
      <alignment horizontal="center" vertical="center" wrapText="1"/>
    </xf>
    <xf numFmtId="0" fontId="43" fillId="14" borderId="6" xfId="0" applyFont="1" applyFill="1" applyBorder="1" applyAlignment="1" applyProtection="1">
      <alignment horizontal="center" vertical="center" wrapText="1"/>
    </xf>
    <xf numFmtId="0" fontId="43" fillId="14" borderId="28" xfId="0" applyFont="1" applyFill="1" applyBorder="1" applyAlignment="1" applyProtection="1">
      <alignment horizontal="center" vertical="center" wrapText="1"/>
    </xf>
    <xf numFmtId="0" fontId="43" fillId="14" borderId="30" xfId="0" applyFont="1" applyFill="1" applyBorder="1" applyAlignment="1" applyProtection="1">
      <alignment horizontal="center" vertical="center" wrapText="1"/>
    </xf>
    <xf numFmtId="0" fontId="47" fillId="8" borderId="6" xfId="0" applyFont="1" applyFill="1" applyBorder="1" applyAlignment="1" applyProtection="1">
      <alignment horizontal="center" vertical="center" wrapText="1"/>
    </xf>
    <xf numFmtId="0" fontId="47" fillId="8" borderId="30" xfId="0" applyFont="1" applyFill="1" applyBorder="1" applyAlignment="1" applyProtection="1">
      <alignment horizontal="center" vertical="center" wrapText="1"/>
    </xf>
    <xf numFmtId="0" fontId="23" fillId="9" borderId="3" xfId="0" applyFont="1" applyFill="1" applyBorder="1" applyAlignment="1" applyProtection="1">
      <alignment horizontal="center" vertical="center" wrapText="1"/>
    </xf>
    <xf numFmtId="0" fontId="23" fillId="9" borderId="25" xfId="0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alignment horizontal="center" vertical="center" wrapText="1"/>
    </xf>
    <xf numFmtId="14" fontId="12" fillId="10" borderId="17" xfId="0" applyNumberFormat="1" applyFont="1" applyFill="1" applyBorder="1" applyAlignment="1" applyProtection="1">
      <alignment horizontal="center" vertical="center" wrapText="1"/>
    </xf>
    <xf numFmtId="0" fontId="43" fillId="11" borderId="17" xfId="0" applyFont="1" applyFill="1" applyBorder="1" applyAlignment="1" applyProtection="1">
      <alignment horizontal="center" vertical="center" wrapText="1"/>
      <protection hidden="1"/>
    </xf>
    <xf numFmtId="0" fontId="44" fillId="0" borderId="42" xfId="0" applyFont="1" applyBorder="1" applyAlignment="1" applyProtection="1">
      <alignment horizontal="center" vertical="center"/>
    </xf>
    <xf numFmtId="0" fontId="23" fillId="12" borderId="6" xfId="0" applyFont="1" applyFill="1" applyBorder="1" applyAlignment="1" applyProtection="1">
      <alignment horizontal="center" vertical="center" wrapText="1"/>
    </xf>
    <xf numFmtId="0" fontId="23" fillId="12" borderId="28" xfId="0" applyFont="1" applyFill="1" applyBorder="1" applyAlignment="1" applyProtection="1">
      <alignment horizontal="center" vertical="center" wrapText="1"/>
    </xf>
    <xf numFmtId="0" fontId="23" fillId="12" borderId="30" xfId="0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47" fillId="8" borderId="28" xfId="0" applyFont="1" applyFill="1" applyBorder="1" applyAlignment="1" applyProtection="1">
      <alignment horizontal="center" vertical="center" wrapText="1"/>
    </xf>
    <xf numFmtId="0" fontId="14" fillId="9" borderId="3" xfId="0" applyFont="1" applyFill="1" applyBorder="1" applyAlignment="1" applyProtection="1">
      <alignment horizontal="center" vertical="center" wrapText="1"/>
    </xf>
    <xf numFmtId="0" fontId="14" fillId="9" borderId="25" xfId="0" applyFont="1" applyFill="1" applyBorder="1" applyAlignment="1" applyProtection="1">
      <alignment horizontal="center" vertical="center" wrapText="1"/>
    </xf>
    <xf numFmtId="0" fontId="41" fillId="13" borderId="17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3" fillId="0" borderId="23" xfId="0" applyFont="1" applyFill="1" applyBorder="1" applyAlignment="1" applyProtection="1">
      <alignment horizontal="center" vertical="center" wrapText="1"/>
    </xf>
    <xf numFmtId="0" fontId="102" fillId="5" borderId="0" xfId="0" applyFont="1" applyFill="1" applyAlignment="1">
      <alignment horizontal="center" vertical="center" wrapText="1"/>
    </xf>
    <xf numFmtId="0" fontId="102" fillId="5" borderId="0" xfId="0" applyFont="1" applyFill="1" applyBorder="1" applyAlignment="1">
      <alignment horizontal="center" vertical="center" wrapText="1"/>
    </xf>
    <xf numFmtId="0" fontId="102" fillId="5" borderId="0" xfId="0" applyFont="1" applyFill="1" applyAlignment="1">
      <alignment horizontal="left" vertical="center" wrapText="1" indent="1"/>
    </xf>
    <xf numFmtId="0" fontId="11" fillId="3" borderId="54" xfId="0" applyFont="1" applyFill="1" applyBorder="1" applyAlignment="1" applyProtection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78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18" borderId="10" xfId="0" applyFont="1" applyFill="1" applyBorder="1" applyAlignment="1">
      <alignment horizontal="center" vertical="center" wrapText="1"/>
    </xf>
    <xf numFmtId="0" fontId="43" fillId="18" borderId="65" xfId="0" applyFont="1" applyFill="1" applyBorder="1" applyAlignment="1">
      <alignment horizontal="center" vertical="center" wrapText="1"/>
    </xf>
    <xf numFmtId="0" fontId="43" fillId="18" borderId="9" xfId="0" applyFont="1" applyFill="1" applyBorder="1" applyAlignment="1">
      <alignment horizontal="center" vertical="center" wrapText="1"/>
    </xf>
    <xf numFmtId="0" fontId="43" fillId="18" borderId="15" xfId="0" applyFont="1" applyFill="1" applyBorder="1" applyAlignment="1">
      <alignment horizontal="center" vertical="center" wrapText="1"/>
    </xf>
    <xf numFmtId="0" fontId="23" fillId="18" borderId="32" xfId="0" applyFont="1" applyFill="1" applyBorder="1" applyAlignment="1">
      <alignment horizontal="center" vertical="center"/>
    </xf>
    <xf numFmtId="0" fontId="23" fillId="18" borderId="33" xfId="0" applyFont="1" applyFill="1" applyBorder="1" applyAlignment="1">
      <alignment horizontal="center" vertical="center"/>
    </xf>
    <xf numFmtId="0" fontId="23" fillId="18" borderId="78" xfId="0" applyFont="1" applyFill="1" applyBorder="1" applyAlignment="1">
      <alignment horizontal="center" vertical="center"/>
    </xf>
    <xf numFmtId="0" fontId="43" fillId="18" borderId="77" xfId="0" applyFont="1" applyFill="1" applyBorder="1" applyAlignment="1">
      <alignment horizontal="center" vertical="center" wrapText="1"/>
    </xf>
    <xf numFmtId="0" fontId="43" fillId="18" borderId="54" xfId="0" applyFont="1" applyFill="1" applyBorder="1" applyAlignment="1">
      <alignment horizontal="center" vertical="center" wrapText="1"/>
    </xf>
    <xf numFmtId="0" fontId="43" fillId="18" borderId="34" xfId="0" applyFont="1" applyFill="1" applyBorder="1" applyAlignment="1">
      <alignment horizontal="center" vertical="center" wrapText="1"/>
    </xf>
    <xf numFmtId="0" fontId="43" fillId="18" borderId="18" xfId="0" applyFont="1" applyFill="1" applyBorder="1" applyAlignment="1">
      <alignment horizontal="center" vertical="center" wrapText="1"/>
    </xf>
    <xf numFmtId="0" fontId="92" fillId="0" borderId="9" xfId="0" applyFont="1" applyBorder="1" applyAlignment="1">
      <alignment horizontal="center" vertical="center" wrapText="1"/>
    </xf>
    <xf numFmtId="0" fontId="92" fillId="0" borderId="15" xfId="0" applyFont="1" applyBorder="1" applyAlignment="1">
      <alignment horizontal="center" vertical="center" wrapText="1"/>
    </xf>
    <xf numFmtId="0" fontId="41" fillId="8" borderId="17" xfId="0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8" borderId="32" xfId="0" applyFont="1" applyFill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43" fillId="8" borderId="33" xfId="0" applyFont="1" applyFill="1" applyBorder="1" applyAlignment="1">
      <alignment horizontal="center" vertical="center" wrapText="1"/>
    </xf>
    <xf numFmtId="0" fontId="43" fillId="8" borderId="17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/>
    </xf>
    <xf numFmtId="0" fontId="47" fillId="8" borderId="33" xfId="0" applyFont="1" applyFill="1" applyBorder="1" applyAlignment="1">
      <alignment horizontal="center" vertical="center"/>
    </xf>
    <xf numFmtId="0" fontId="43" fillId="8" borderId="34" xfId="0" applyFont="1" applyFill="1" applyBorder="1" applyAlignment="1">
      <alignment horizontal="center" vertical="center" wrapText="1"/>
    </xf>
    <xf numFmtId="0" fontId="43" fillId="8" borderId="18" xfId="0" applyFont="1" applyFill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5" xfId="0" applyFont="1" applyBorder="1" applyAlignment="1">
      <alignment horizontal="center" vertical="center" wrapText="1"/>
    </xf>
    <xf numFmtId="0" fontId="30" fillId="5" borderId="0" xfId="0" applyFont="1" applyFill="1" applyAlignment="1">
      <alignment horizontal="left" vertical="center" wrapText="1" inden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54" fillId="0" borderId="0" xfId="0" applyFont="1" applyBorder="1" applyAlignment="1">
      <alignment horizontal="center"/>
    </xf>
    <xf numFmtId="0" fontId="11" fillId="3" borderId="63" xfId="0" applyFont="1" applyFill="1" applyBorder="1" applyAlignment="1" applyProtection="1">
      <alignment horizontal="center" vertical="center" wrapText="1"/>
    </xf>
    <xf numFmtId="0" fontId="11" fillId="3" borderId="35" xfId="0" applyFont="1" applyFill="1" applyBorder="1" applyAlignment="1" applyProtection="1">
      <alignment horizontal="center" vertical="center" wrapText="1"/>
    </xf>
    <xf numFmtId="0" fontId="12" fillId="4" borderId="23" xfId="0" applyFont="1" applyFill="1" applyBorder="1" applyAlignment="1" applyProtection="1">
      <alignment horizontal="center" vertical="center" wrapText="1"/>
      <protection hidden="1"/>
    </xf>
    <xf numFmtId="0" fontId="12" fillId="4" borderId="24" xfId="0" applyFont="1" applyFill="1" applyBorder="1" applyAlignment="1" applyProtection="1">
      <alignment horizontal="center" vertical="center" wrapText="1"/>
      <protection hidden="1"/>
    </xf>
    <xf numFmtId="0" fontId="12" fillId="4" borderId="36" xfId="0" applyFont="1" applyFill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14" borderId="3" xfId="0" applyFont="1" applyFill="1" applyBorder="1" applyAlignment="1">
      <alignment horizontal="left" vertical="center" wrapText="1"/>
    </xf>
    <xf numFmtId="0" fontId="45" fillId="14" borderId="8" xfId="0" applyFont="1" applyFill="1" applyBorder="1" applyAlignment="1">
      <alignment horizontal="left" vertical="center" wrapText="1"/>
    </xf>
    <xf numFmtId="0" fontId="45" fillId="14" borderId="25" xfId="0" applyFont="1" applyFill="1" applyBorder="1" applyAlignment="1">
      <alignment horizontal="left" vertical="center" wrapText="1"/>
    </xf>
    <xf numFmtId="0" fontId="45" fillId="8" borderId="3" xfId="0" applyFont="1" applyFill="1" applyBorder="1" applyAlignment="1">
      <alignment horizontal="left" vertical="center" wrapText="1"/>
    </xf>
    <xf numFmtId="0" fontId="45" fillId="8" borderId="8" xfId="0" applyFont="1" applyFill="1" applyBorder="1" applyAlignment="1">
      <alignment horizontal="left" vertical="center" wrapText="1"/>
    </xf>
    <xf numFmtId="0" fontId="45" fillId="8" borderId="25" xfId="0" applyFont="1" applyFill="1" applyBorder="1" applyAlignment="1">
      <alignment horizontal="left" vertical="center" wrapText="1"/>
    </xf>
    <xf numFmtId="0" fontId="45" fillId="23" borderId="8" xfId="0" applyFont="1" applyFill="1" applyBorder="1" applyAlignment="1">
      <alignment horizontal="left" vertical="center" wrapText="1"/>
    </xf>
    <xf numFmtId="0" fontId="45" fillId="23" borderId="25" xfId="0" applyFont="1" applyFill="1" applyBorder="1" applyAlignment="1">
      <alignment horizontal="left" vertical="center" wrapText="1"/>
    </xf>
    <xf numFmtId="0" fontId="43" fillId="15" borderId="0" xfId="0" applyFont="1" applyFill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73" fillId="0" borderId="1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73" fillId="0" borderId="52" xfId="0" applyFont="1" applyBorder="1" applyAlignment="1">
      <alignment horizontal="center" vertical="center" wrapText="1"/>
    </xf>
    <xf numFmtId="0" fontId="73" fillId="0" borderId="67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96" fillId="5" borderId="0" xfId="0" applyFont="1" applyFill="1" applyAlignment="1">
      <alignment horizontal="left" vertical="center" wrapText="1" indent="1"/>
    </xf>
    <xf numFmtId="0" fontId="62" fillId="15" borderId="6" xfId="0" applyFont="1" applyFill="1" applyBorder="1" applyAlignment="1" applyProtection="1">
      <alignment horizontal="center" vertical="center"/>
    </xf>
    <xf numFmtId="0" fontId="62" fillId="15" borderId="28" xfId="0" applyFont="1" applyFill="1" applyBorder="1" applyAlignment="1" applyProtection="1">
      <alignment horizontal="center" vertical="center"/>
    </xf>
    <xf numFmtId="0" fontId="62" fillId="15" borderId="30" xfId="0" applyFont="1" applyFill="1" applyBorder="1" applyAlignment="1" applyProtection="1">
      <alignment horizontal="center" vertical="center"/>
    </xf>
    <xf numFmtId="0" fontId="21" fillId="0" borderId="52" xfId="0" applyFont="1" applyBorder="1" applyAlignment="1" applyProtection="1">
      <alignment horizontal="center" vertical="top"/>
    </xf>
    <xf numFmtId="0" fontId="23" fillId="0" borderId="52" xfId="0" applyFont="1" applyBorder="1" applyAlignment="1" applyProtection="1">
      <alignment horizontal="center" vertical="top"/>
    </xf>
    <xf numFmtId="0" fontId="43" fillId="0" borderId="7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8" borderId="77" xfId="0" applyFont="1" applyFill="1" applyBorder="1" applyAlignment="1">
      <alignment horizontal="center"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22" xfId="0" applyFont="1" applyFill="1" applyBorder="1" applyAlignment="1">
      <alignment horizontal="center" vertical="center" wrapText="1"/>
    </xf>
    <xf numFmtId="0" fontId="43" fillId="8" borderId="21" xfId="0" applyFont="1" applyFill="1" applyBorder="1" applyAlignment="1">
      <alignment horizontal="center" vertical="center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3" xfId="4"/>
    <cellStyle name="Обычный 4" xfId="3"/>
    <cellStyle name="Обычный 8" xfId="5"/>
  </cellStyles>
  <dxfs count="143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Medium9"/>
  <colors>
    <mruColors>
      <color rgb="FFCCFFCC"/>
      <color rgb="FFFFFFCC"/>
      <color rgb="FF00FF00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28575</xdr:colOff>
      <xdr:row>10</xdr:row>
      <xdr:rowOff>28575</xdr:rowOff>
    </xdr:from>
    <xdr:to>
      <xdr:col>6</xdr:col>
      <xdr:colOff>0</xdr:colOff>
      <xdr:row>10</xdr:row>
      <xdr:rowOff>409575</xdr:rowOff>
    </xdr:to>
    <xdr:sp macro="[0]!WeeklyReport" textlink="">
      <xdr:nvSpPr>
        <xdr:cNvPr id="2" name="Стрелка вправо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0115550" y="2038350"/>
          <a:ext cx="914400" cy="3810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5</xdr:col>
      <xdr:colOff>0</xdr:colOff>
      <xdr:row>12</xdr:row>
      <xdr:rowOff>104775</xdr:rowOff>
    </xdr:from>
    <xdr:to>
      <xdr:col>6</xdr:col>
      <xdr:colOff>0</xdr:colOff>
      <xdr:row>12</xdr:row>
      <xdr:rowOff>485775</xdr:rowOff>
    </xdr:to>
    <xdr:sp macro="[0]!MonthlyReport" textlink="">
      <xdr:nvSpPr>
        <xdr:cNvPr id="7" name="Стрелка вправо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10086975" y="2809875"/>
          <a:ext cx="914400" cy="381000"/>
        </a:xfrm>
        <a:prstGeom prst="righ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333375</xdr:rowOff>
    </xdr:from>
    <xdr:to>
      <xdr:col>7</xdr:col>
      <xdr:colOff>9525</xdr:colOff>
      <xdr:row>24</xdr:row>
      <xdr:rowOff>88910</xdr:rowOff>
    </xdr:to>
    <xdr:pic>
      <xdr:nvPicPr>
        <xdr:cNvPr id="2" name="Рисунок 1" descr="&amp;Pcy;&amp;acy;&amp;rcy;&amp;acy;&amp;mcy;&amp;iecy;&amp;tcy;&amp;rcy;&amp;ycy; Excel 2007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4276725" cy="3336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6</xdr:row>
      <xdr:rowOff>333376</xdr:rowOff>
    </xdr:from>
    <xdr:to>
      <xdr:col>16</xdr:col>
      <xdr:colOff>416723</xdr:colOff>
      <xdr:row>24</xdr:row>
      <xdr:rowOff>66676</xdr:rowOff>
    </xdr:to>
    <xdr:pic>
      <xdr:nvPicPr>
        <xdr:cNvPr id="3" name="Рисунок 2" descr="&amp;TScy;&amp;iecy;&amp;ncy;&amp;tcy;&amp;rcy; &amp;ucy;&amp;pcy;&amp;rcy;&amp;acy;&amp;vcy;&amp;lcy;&amp;iecy;&amp;ncy;&amp;icy;&amp;yacy; &amp;bcy;&amp;iecy;&amp;zcy;&amp;ocy;&amp;pcy;&amp;acy;&amp;scy;&amp;ncy;&amp;ocy;&amp;scy;&amp;tcy;&amp;softcy;&amp;yucy; &amp;vcy; Excel 2007 &amp;icy; 2010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781176"/>
          <a:ext cx="5388773" cy="331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304799</xdr:colOff>
      <xdr:row>6</xdr:row>
      <xdr:rowOff>333375</xdr:rowOff>
    </xdr:from>
    <xdr:to>
      <xdr:col>27</xdr:col>
      <xdr:colOff>190500</xdr:colOff>
      <xdr:row>24</xdr:row>
      <xdr:rowOff>74840</xdr:rowOff>
    </xdr:to>
    <xdr:pic>
      <xdr:nvPicPr>
        <xdr:cNvPr id="4" name="Рисунок 3" descr="&amp;TScy;&amp;iecy;&amp;ncy;&amp;tcy;&amp;rcy; &amp;ucy;&amp;pcy;&amp;rcy;&amp;acy;&amp;vcy;&amp;lcy;&amp;iecy;&amp;ncy;&amp;icy;&amp;yacy; &amp;bcy;&amp;iecy;&amp;zcy;&amp;ocy;&amp;pcy;&amp;acy;&amp;scy;&amp;ncy;&amp;ocy;&amp;scy;&amp;tcy;&amp;softcy;&amp;yucy; &amp;vcy; Excel 2007 &amp;icy; 2010 - &amp;pcy;&amp;acy;&amp;rcy;&amp;acy;&amp;mcy;&amp;iecy;&amp;tcy;&amp;rcy;&amp;ycy; &amp;mcy;&amp;acy;&amp;kcy;&amp;rcy;&amp;ocy;&amp;scy;&amp;ocy;&amp;vcy;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699" y="1781175"/>
          <a:ext cx="5372101" cy="3322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180975</xdr:colOff>
      <xdr:row>14</xdr:row>
      <xdr:rowOff>171450</xdr:rowOff>
    </xdr:from>
    <xdr:to>
      <xdr:col>8</xdr:col>
      <xdr:colOff>228600</xdr:colOff>
      <xdr:row>16</xdr:row>
      <xdr:rowOff>57150</xdr:rowOff>
    </xdr:to>
    <xdr:sp macro="" textlink="">
      <xdr:nvSpPr>
        <xdr:cNvPr id="5" name="Стрелка вправо 4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/>
      </xdr:nvSpPr>
      <xdr:spPr>
        <a:xfrm>
          <a:off x="4448175" y="3295650"/>
          <a:ext cx="657225" cy="2667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95250</xdr:colOff>
      <xdr:row>14</xdr:row>
      <xdr:rowOff>171450</xdr:rowOff>
    </xdr:from>
    <xdr:to>
      <xdr:col>18</xdr:col>
      <xdr:colOff>142875</xdr:colOff>
      <xdr:row>16</xdr:row>
      <xdr:rowOff>57150</xdr:rowOff>
    </xdr:to>
    <xdr:sp macro="" textlink="">
      <xdr:nvSpPr>
        <xdr:cNvPr id="6" name="Стрелка вправо 5">
          <a:extLst>
            <a:ext uri="{FF2B5EF4-FFF2-40B4-BE49-F238E27FC236}">
              <a16:creationId xmlns="" xmlns:a16="http://schemas.microsoft.com/office/drawing/2014/main" id="{00000000-0008-0000-1500-000006000000}"/>
            </a:ext>
          </a:extLst>
        </xdr:cNvPr>
        <xdr:cNvSpPr/>
      </xdr:nvSpPr>
      <xdr:spPr>
        <a:xfrm>
          <a:off x="10877550" y="3295650"/>
          <a:ext cx="657225" cy="2667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0</xdr:col>
      <xdr:colOff>1</xdr:colOff>
      <xdr:row>28</xdr:row>
      <xdr:rowOff>1</xdr:rowOff>
    </xdr:from>
    <xdr:to>
      <xdr:col>6</xdr:col>
      <xdr:colOff>439465</xdr:colOff>
      <xdr:row>51</xdr:row>
      <xdr:rowOff>19051</xdr:rowOff>
    </xdr:to>
    <xdr:pic>
      <xdr:nvPicPr>
        <xdr:cNvPr id="7" name="Рисунок 6" descr="&amp;Pcy;&amp;acy;&amp;rcy;&amp;acy;&amp;mcy;&amp;iecy;&amp;tcy;&amp;rcy;&amp;ycy; Excel 2010">
          <a:extLst>
            <a:ext uri="{FF2B5EF4-FFF2-40B4-BE49-F238E27FC236}">
              <a16:creationId xmlns="" xmlns:a16="http://schemas.microsoft.com/office/drawing/2014/main" id="{00000000-0008-0000-1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943601"/>
          <a:ext cx="4097064" cy="440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400050</xdr:colOff>
      <xdr:row>28</xdr:row>
      <xdr:rowOff>1</xdr:rowOff>
    </xdr:from>
    <xdr:to>
      <xdr:col>19</xdr:col>
      <xdr:colOff>336501</xdr:colOff>
      <xdr:row>50</xdr:row>
      <xdr:rowOff>152401</xdr:rowOff>
    </xdr:to>
    <xdr:pic>
      <xdr:nvPicPr>
        <xdr:cNvPr id="8" name="Рисунок 7" descr="&amp;TScy;&amp;iecy;&amp;ncy;&amp;tcy;&amp;rcy; &amp;ucy;&amp;pcy;&amp;rcy;&amp;acy;&amp;vcy;&amp;lcy;&amp;iecy;&amp;ncy;&amp;icy;&amp;yacy; &amp;bcy;&amp;iecy;&amp;zcy;&amp;ocy;&amp;pcy;&amp;acy;&amp;scy;&amp;ncy;&amp;ocy;&amp;scy;&amp;tcy;&amp;softcy;&amp;yucy; &amp;vcy; Excel 2007 &amp;icy; 2010">
          <a:extLst>
            <a:ext uri="{FF2B5EF4-FFF2-40B4-BE49-F238E27FC236}">
              <a16:creationId xmlns="" xmlns:a16="http://schemas.microsoft.com/office/drawing/2014/main" id="{00000000-0008-0000-1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5943601"/>
          <a:ext cx="7061151" cy="434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476250</xdr:colOff>
      <xdr:row>28</xdr:row>
      <xdr:rowOff>9525</xdr:rowOff>
    </xdr:from>
    <xdr:to>
      <xdr:col>32</xdr:col>
      <xdr:colOff>38100</xdr:colOff>
      <xdr:row>48</xdr:row>
      <xdr:rowOff>76200</xdr:rowOff>
    </xdr:to>
    <xdr:pic>
      <xdr:nvPicPr>
        <xdr:cNvPr id="9" name="Рисунок 8" descr="&amp;TScy;&amp;iecy;&amp;ncy;&amp;tcy;&amp;rcy; &amp;ucy;&amp;pcy;&amp;rcy;&amp;acy;&amp;vcy;&amp;lcy;&amp;iecy;&amp;ncy;&amp;icy;&amp;yacy; &amp;bcy;&amp;iecy;&amp;zcy;&amp;ocy;&amp;pcy;&amp;acy;&amp;scy;&amp;ncy;&amp;ocy;&amp;scy;&amp;tcy;&amp;softcy;&amp;yucy; &amp;vcy; Excel 2007 &amp;icy; 2010 - &amp;pcy;&amp;acy;&amp;rcy;&amp;acy;&amp;mcy;&amp;iecy;&amp;tcy;&amp;rcy;&amp;ycy; &amp;mcy;&amp;acy;&amp;kcy;&amp;rcy;&amp;ocy;&amp;scy;&amp;ocy;&amp;vcy;">
          <a:extLst>
            <a:ext uri="{FF2B5EF4-FFF2-40B4-BE49-F238E27FC236}">
              <a16:creationId xmlns=""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5953125"/>
          <a:ext cx="6267450" cy="387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123825</xdr:colOff>
      <xdr:row>38</xdr:row>
      <xdr:rowOff>0</xdr:rowOff>
    </xdr:from>
    <xdr:to>
      <xdr:col>8</xdr:col>
      <xdr:colOff>171450</xdr:colOff>
      <xdr:row>39</xdr:row>
      <xdr:rowOff>76200</xdr:rowOff>
    </xdr:to>
    <xdr:sp macro="" textlink="">
      <xdr:nvSpPr>
        <xdr:cNvPr id="10" name="Стрелка вправо 9">
          <a:extLst>
            <a:ext uri="{FF2B5EF4-FFF2-40B4-BE49-F238E27FC236}">
              <a16:creationId xmlns="" xmlns:a16="http://schemas.microsoft.com/office/drawing/2014/main" id="{00000000-0008-0000-1500-00000A000000}"/>
            </a:ext>
          </a:extLst>
        </xdr:cNvPr>
        <xdr:cNvSpPr/>
      </xdr:nvSpPr>
      <xdr:spPr>
        <a:xfrm>
          <a:off x="4391025" y="7848600"/>
          <a:ext cx="657225" cy="2667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47625</xdr:colOff>
      <xdr:row>38</xdr:row>
      <xdr:rowOff>0</xdr:rowOff>
    </xdr:from>
    <xdr:to>
      <xdr:col>21</xdr:col>
      <xdr:colOff>95250</xdr:colOff>
      <xdr:row>39</xdr:row>
      <xdr:rowOff>76200</xdr:rowOff>
    </xdr:to>
    <xdr:sp macro="" textlink="">
      <xdr:nvSpPr>
        <xdr:cNvPr id="11" name="Стрелка вправо 10">
          <a:extLst>
            <a:ext uri="{FF2B5EF4-FFF2-40B4-BE49-F238E27FC236}">
              <a16:creationId xmlns="" xmlns:a16="http://schemas.microsoft.com/office/drawing/2014/main" id="{00000000-0008-0000-1500-00000B000000}"/>
            </a:ext>
          </a:extLst>
        </xdr:cNvPr>
        <xdr:cNvSpPr/>
      </xdr:nvSpPr>
      <xdr:spPr>
        <a:xfrm>
          <a:off x="12658725" y="7848600"/>
          <a:ext cx="657225" cy="2667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1054;&#1041;&#1056;&#1040;&#1047;&#1045;&#1062;%20&#1055;&#1054;&#1051;&#1053;&#1054;&#1043;&#1054;)%20&#1064;&#1072;&#1073;&#1083;&#1086;&#1085;%20&#1087;&#1086;%20&#1040;&#1055;&#1059;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ключите макросы"/>
      <sheetName val="Филиал"/>
      <sheetName val="Вспомогательный лист"/>
      <sheetName val="Юр.лицо"/>
    </sheetNames>
    <sheetDataSet>
      <sheetData sheetId="0" refreshError="1"/>
      <sheetData sheetId="1" refreshError="1"/>
      <sheetData sheetId="2">
        <row r="1">
          <cell r="A1" t="str">
            <v>Центральный федеральный округ</v>
          </cell>
          <cell r="E1" t="str">
            <v>Центральный федеральный округ</v>
          </cell>
          <cell r="AA1" t="str">
            <v>Алтайский край</v>
          </cell>
        </row>
        <row r="2">
          <cell r="A2" t="str">
            <v>Центральный федеральный округ</v>
          </cell>
          <cell r="E2" t="str">
            <v>Северо-Западный федеральный округ</v>
          </cell>
          <cell r="V2" t="str">
            <v>многопрофильные больницы и центральные городские больницы</v>
          </cell>
          <cell r="W2" t="str">
            <v>взрослое</v>
          </cell>
          <cell r="X2" t="str">
            <v>да</v>
          </cell>
          <cell r="AA2" t="str">
            <v>Алтайский край</v>
          </cell>
        </row>
        <row r="3">
          <cell r="A3" t="str">
            <v>Центральный федеральный округ</v>
          </cell>
          <cell r="E3" t="str">
            <v>Южный федеральный округ</v>
          </cell>
          <cell r="V3" t="str">
            <v>самостоятельные поликлиники</v>
          </cell>
          <cell r="W3" t="str">
            <v>детское</v>
          </cell>
          <cell r="X3" t="str">
            <v>нет</v>
          </cell>
          <cell r="AA3" t="str">
            <v>Алтайский край</v>
          </cell>
        </row>
        <row r="4">
          <cell r="A4" t="str">
            <v>Центральный федеральный округ</v>
          </cell>
          <cell r="E4" t="str">
            <v>Северо-Кавказский федеральный округ</v>
          </cell>
          <cell r="V4" t="str">
            <v>районные больницы и центральные районные больницы</v>
          </cell>
          <cell r="W4" t="str">
            <v>смешанное</v>
          </cell>
          <cell r="AA4" t="str">
            <v>Алтайский край</v>
          </cell>
        </row>
        <row r="5">
          <cell r="A5" t="str">
            <v>Центральный федеральный округ</v>
          </cell>
          <cell r="E5" t="str">
            <v>Приволжский федеральный округ</v>
          </cell>
          <cell r="V5" t="str">
            <v>участковые больницы и врачебные амбулатории</v>
          </cell>
          <cell r="AA5" t="str">
            <v>Алтайский край</v>
          </cell>
        </row>
        <row r="6">
          <cell r="A6" t="str">
            <v>Центральный федеральный округ</v>
          </cell>
          <cell r="E6" t="str">
            <v>Уральский федеральный округ</v>
          </cell>
          <cell r="AA6" t="str">
            <v>Алтайский край</v>
          </cell>
        </row>
        <row r="7">
          <cell r="A7" t="str">
            <v>Центральный федеральный округ</v>
          </cell>
          <cell r="E7" t="str">
            <v>Сибирский федеральный округ</v>
          </cell>
          <cell r="AA7" t="str">
            <v>Алтайский край</v>
          </cell>
        </row>
        <row r="8">
          <cell r="A8" t="str">
            <v>Центральный федеральный округ</v>
          </cell>
          <cell r="E8" t="str">
            <v>Дальневосточный федеральный округ</v>
          </cell>
          <cell r="AA8" t="str">
            <v>Алтайский край</v>
          </cell>
        </row>
        <row r="9">
          <cell r="A9" t="str">
            <v>Центральный федеральный округ</v>
          </cell>
          <cell r="AA9" t="str">
            <v>Алтайский край</v>
          </cell>
        </row>
        <row r="10">
          <cell r="A10" t="str">
            <v>Центральный федеральный округ</v>
          </cell>
          <cell r="AA10" t="str">
            <v>Алтайский край</v>
          </cell>
        </row>
        <row r="11">
          <cell r="A11" t="str">
            <v>Центральный федеральный округ</v>
          </cell>
          <cell r="AA11" t="str">
            <v>Алтайский край</v>
          </cell>
        </row>
        <row r="12">
          <cell r="A12" t="str">
            <v>Центральный федеральный округ</v>
          </cell>
          <cell r="AA12" t="str">
            <v>Алтайский край</v>
          </cell>
        </row>
        <row r="13">
          <cell r="A13" t="str">
            <v>Центральный федеральный округ</v>
          </cell>
          <cell r="AA13" t="str">
            <v>Алтайский край</v>
          </cell>
        </row>
        <row r="14">
          <cell r="A14" t="str">
            <v>Центральный федеральный округ</v>
          </cell>
          <cell r="AA14" t="str">
            <v>Алтайский край</v>
          </cell>
        </row>
        <row r="15">
          <cell r="A15" t="str">
            <v>Центральный федеральный округ</v>
          </cell>
          <cell r="AA15" t="str">
            <v>Алтайский край</v>
          </cell>
        </row>
        <row r="16">
          <cell r="A16" t="str">
            <v>Центральный федеральный округ</v>
          </cell>
          <cell r="AA16" t="str">
            <v>Алтайский край</v>
          </cell>
        </row>
        <row r="17">
          <cell r="A17" t="str">
            <v>Центральный федеральный округ</v>
          </cell>
          <cell r="AA17" t="str">
            <v>Алтайский край</v>
          </cell>
        </row>
        <row r="18">
          <cell r="A18" t="str">
            <v>Центральный федеральный округ</v>
          </cell>
          <cell r="AA18" t="str">
            <v>Алтайский край</v>
          </cell>
        </row>
        <row r="19">
          <cell r="A19" t="str">
            <v>Северо-Западный федеральный округ</v>
          </cell>
          <cell r="AA19" t="str">
            <v>Алтайский край</v>
          </cell>
        </row>
        <row r="20">
          <cell r="A20" t="str">
            <v>Северо-Западный федеральный округ</v>
          </cell>
          <cell r="AA20" t="str">
            <v>Алтайский край</v>
          </cell>
        </row>
        <row r="21">
          <cell r="A21" t="str">
            <v>Северо-Западный федеральный округ</v>
          </cell>
          <cell r="AA21" t="str">
            <v>Алтайский край</v>
          </cell>
        </row>
        <row r="22">
          <cell r="A22" t="str">
            <v>Северо-Западный федеральный округ</v>
          </cell>
          <cell r="AA22" t="str">
            <v>Алтайский край</v>
          </cell>
        </row>
        <row r="23">
          <cell r="A23" t="str">
            <v>Северо-Западный федеральный округ</v>
          </cell>
          <cell r="AA23" t="str">
            <v>Алтайский край</v>
          </cell>
        </row>
        <row r="24">
          <cell r="A24" t="str">
            <v>Северо-Западный федеральный округ</v>
          </cell>
          <cell r="AA24" t="str">
            <v>Алтайский край</v>
          </cell>
        </row>
        <row r="25">
          <cell r="A25" t="str">
            <v>Северо-Западный федеральный округ</v>
          </cell>
          <cell r="AA25" t="str">
            <v>Алтайский край</v>
          </cell>
        </row>
        <row r="26">
          <cell r="A26" t="str">
            <v>Северо-Западный федеральный округ</v>
          </cell>
          <cell r="AA26" t="str">
            <v>Алтайский край</v>
          </cell>
        </row>
        <row r="27">
          <cell r="A27" t="str">
            <v>Северо-Западный федеральный округ</v>
          </cell>
          <cell r="AA27" t="str">
            <v>Алтайский край</v>
          </cell>
        </row>
        <row r="28">
          <cell r="A28" t="str">
            <v>Северо-Западный федеральный округ</v>
          </cell>
          <cell r="AA28" t="str">
            <v>Алтайский край</v>
          </cell>
        </row>
        <row r="29">
          <cell r="A29" t="str">
            <v>Северо-Западный федеральный округ</v>
          </cell>
          <cell r="AA29" t="str">
            <v>Алтайский край</v>
          </cell>
        </row>
        <row r="30">
          <cell r="A30" t="str">
            <v>Южный федеральный округ</v>
          </cell>
          <cell r="AA30" t="str">
            <v>Алтайский край</v>
          </cell>
        </row>
        <row r="31">
          <cell r="A31" t="str">
            <v>Южный федеральный округ</v>
          </cell>
          <cell r="AA31" t="str">
            <v>Алтайский край</v>
          </cell>
        </row>
        <row r="32">
          <cell r="A32" t="str">
            <v>Южный федеральный округ</v>
          </cell>
          <cell r="AA32" t="str">
            <v>Алтайский край</v>
          </cell>
        </row>
        <row r="33">
          <cell r="A33" t="str">
            <v>Южный федеральный округ</v>
          </cell>
          <cell r="AA33" t="str">
            <v>Алтайский край</v>
          </cell>
        </row>
        <row r="34">
          <cell r="A34" t="str">
            <v>Южный федеральный округ</v>
          </cell>
          <cell r="AA34" t="str">
            <v>Алтайский край</v>
          </cell>
        </row>
        <row r="35">
          <cell r="A35" t="str">
            <v>Южный федеральный округ</v>
          </cell>
          <cell r="AA35" t="str">
            <v>Алтайский край</v>
          </cell>
        </row>
        <row r="36">
          <cell r="A36" t="str">
            <v>Южный федеральный округ</v>
          </cell>
          <cell r="AA36" t="str">
            <v>Алтайский край</v>
          </cell>
        </row>
        <row r="37">
          <cell r="A37" t="str">
            <v>Южный федеральный округ</v>
          </cell>
          <cell r="AA37" t="str">
            <v>Алтайский край</v>
          </cell>
        </row>
        <row r="38">
          <cell r="A38" t="str">
            <v>Северо-Кавказский федеральный округ</v>
          </cell>
          <cell r="AA38" t="str">
            <v>Алтайский край</v>
          </cell>
        </row>
        <row r="39">
          <cell r="A39" t="str">
            <v>Северо-Кавказский федеральный округ</v>
          </cell>
          <cell r="AA39" t="str">
            <v>Алтайский край</v>
          </cell>
        </row>
        <row r="40">
          <cell r="A40" t="str">
            <v>Северо-Кавказский федеральный округ</v>
          </cell>
          <cell r="AA40" t="str">
            <v>Алтайский край</v>
          </cell>
        </row>
        <row r="41">
          <cell r="A41" t="str">
            <v>Северо-Кавказский федеральный округ</v>
          </cell>
          <cell r="AA41" t="str">
            <v>Алтайский край</v>
          </cell>
        </row>
        <row r="42">
          <cell r="A42" t="str">
            <v>Северо-Кавказский федеральный округ</v>
          </cell>
          <cell r="AA42" t="str">
            <v>Алтайский край</v>
          </cell>
        </row>
        <row r="43">
          <cell r="A43" t="str">
            <v>Северо-Кавказский федеральный округ</v>
          </cell>
          <cell r="AA43" t="str">
            <v>Алтайский край</v>
          </cell>
        </row>
        <row r="44">
          <cell r="A44" t="str">
            <v>Северо-Кавказский федеральный округ</v>
          </cell>
          <cell r="AA44" t="str">
            <v>Алтайский край</v>
          </cell>
        </row>
        <row r="45">
          <cell r="A45" t="str">
            <v>Приволжский федеральный округ</v>
          </cell>
          <cell r="AA45" t="str">
            <v>Алтайский край</v>
          </cell>
        </row>
        <row r="46">
          <cell r="A46" t="str">
            <v>Приволжский федеральный округ</v>
          </cell>
          <cell r="AA46" t="str">
            <v>Алтайский край</v>
          </cell>
        </row>
        <row r="47">
          <cell r="A47" t="str">
            <v>Приволжский федеральный округ</v>
          </cell>
          <cell r="AA47" t="str">
            <v>Алтайский край</v>
          </cell>
        </row>
        <row r="48">
          <cell r="A48" t="str">
            <v>Приволжский федеральный округ</v>
          </cell>
          <cell r="AA48" t="str">
            <v>Алтайский край</v>
          </cell>
        </row>
        <row r="49">
          <cell r="A49" t="str">
            <v>Приволжский федеральный округ</v>
          </cell>
          <cell r="AA49" t="str">
            <v>Алтайский край</v>
          </cell>
        </row>
        <row r="50">
          <cell r="A50" t="str">
            <v>Приволжский федеральный округ</v>
          </cell>
          <cell r="AA50" t="str">
            <v>Алтайский край</v>
          </cell>
        </row>
        <row r="51">
          <cell r="A51" t="str">
            <v>Приволжский федеральный округ</v>
          </cell>
          <cell r="AA51" t="str">
            <v>Алтайский край</v>
          </cell>
        </row>
        <row r="52">
          <cell r="A52" t="str">
            <v>Приволжский федеральный округ</v>
          </cell>
          <cell r="AA52" t="str">
            <v>Алтайский край</v>
          </cell>
        </row>
        <row r="53">
          <cell r="A53" t="str">
            <v>Приволжский федеральный округ</v>
          </cell>
          <cell r="AA53" t="str">
            <v>Алтайский край</v>
          </cell>
        </row>
        <row r="54">
          <cell r="A54" t="str">
            <v>Приволжский федеральный округ</v>
          </cell>
          <cell r="AA54" t="str">
            <v>Алтайский край</v>
          </cell>
        </row>
        <row r="55">
          <cell r="A55" t="str">
            <v>Приволжский федеральный округ</v>
          </cell>
          <cell r="AA55" t="str">
            <v>Алтайский край</v>
          </cell>
        </row>
        <row r="56">
          <cell r="A56" t="str">
            <v>Приволжский федеральный округ</v>
          </cell>
          <cell r="AA56" t="str">
            <v>Алтайский край</v>
          </cell>
        </row>
        <row r="57">
          <cell r="A57" t="str">
            <v>Приволжский федеральный округ</v>
          </cell>
          <cell r="AA57" t="str">
            <v>Алтайский край</v>
          </cell>
        </row>
        <row r="58">
          <cell r="A58" t="str">
            <v>Приволжский федеральный округ</v>
          </cell>
          <cell r="AA58" t="str">
            <v>Алтайский край</v>
          </cell>
        </row>
        <row r="59">
          <cell r="A59" t="str">
            <v>Уральский федеральный округ</v>
          </cell>
          <cell r="AA59" t="str">
            <v>Алтайский край</v>
          </cell>
        </row>
        <row r="60">
          <cell r="A60" t="str">
            <v>Уральский федеральный округ</v>
          </cell>
          <cell r="AA60" t="str">
            <v>Алтайский край</v>
          </cell>
        </row>
        <row r="61">
          <cell r="A61" t="str">
            <v>Уральский федеральный округ</v>
          </cell>
          <cell r="AA61" t="str">
            <v>Алтайский край</v>
          </cell>
        </row>
        <row r="62">
          <cell r="A62" t="str">
            <v>Уральский федеральный округ</v>
          </cell>
          <cell r="AA62" t="str">
            <v>Алтайский край</v>
          </cell>
        </row>
        <row r="63">
          <cell r="A63" t="str">
            <v>Уральский федеральный округ</v>
          </cell>
          <cell r="AA63" t="str">
            <v>Алтайский край</v>
          </cell>
        </row>
        <row r="64">
          <cell r="A64" t="str">
            <v>Уральский федеральный округ</v>
          </cell>
          <cell r="AA64" t="str">
            <v>Алтайский край</v>
          </cell>
        </row>
        <row r="65">
          <cell r="A65" t="str">
            <v>Сибирский федеральный округ</v>
          </cell>
          <cell r="AA65" t="str">
            <v>Алтайский край</v>
          </cell>
        </row>
        <row r="66">
          <cell r="A66" t="str">
            <v>Сибирский федеральный округ</v>
          </cell>
          <cell r="AA66" t="str">
            <v>Алтайский край</v>
          </cell>
        </row>
        <row r="67">
          <cell r="A67" t="str">
            <v>Сибирский федеральный округ</v>
          </cell>
          <cell r="AA67" t="str">
            <v>Алтайский край</v>
          </cell>
        </row>
        <row r="68">
          <cell r="A68" t="str">
            <v>Сибирский федеральный округ</v>
          </cell>
          <cell r="AA68" t="str">
            <v>Алтайский край</v>
          </cell>
        </row>
        <row r="69">
          <cell r="A69" t="str">
            <v>Сибирский федеральный округ</v>
          </cell>
          <cell r="AA69" t="str">
            <v>Алтайский край</v>
          </cell>
        </row>
        <row r="70">
          <cell r="A70" t="str">
            <v>Сибирский федеральный округ</v>
          </cell>
          <cell r="AA70" t="str">
            <v>Алтайский край</v>
          </cell>
        </row>
        <row r="71">
          <cell r="A71" t="str">
            <v>Сибирский федеральный округ</v>
          </cell>
          <cell r="AA71" t="str">
            <v>Алтайский край</v>
          </cell>
        </row>
        <row r="72">
          <cell r="A72" t="str">
            <v>Сибирский федеральный округ</v>
          </cell>
          <cell r="AA72" t="str">
            <v>Алтайский край</v>
          </cell>
        </row>
        <row r="73">
          <cell r="A73" t="str">
            <v>Сибирский федеральный округ</v>
          </cell>
          <cell r="AA73" t="str">
            <v>Алтайский край</v>
          </cell>
        </row>
        <row r="74">
          <cell r="A74" t="str">
            <v>Сибирский федеральный округ</v>
          </cell>
          <cell r="AA74" t="str">
            <v>Алтайский край</v>
          </cell>
        </row>
        <row r="75">
          <cell r="A75" t="str">
            <v>Сибирский федеральный округ</v>
          </cell>
          <cell r="AA75" t="str">
            <v>Алтайский край</v>
          </cell>
        </row>
        <row r="76">
          <cell r="A76" t="str">
            <v>Сибирский федеральный округ</v>
          </cell>
          <cell r="AA76" t="str">
            <v>Алтайский край</v>
          </cell>
        </row>
        <row r="77">
          <cell r="A77" t="str">
            <v>Дальневосточный федеральный округ</v>
          </cell>
          <cell r="AA77" t="str">
            <v>Алтайский край</v>
          </cell>
        </row>
        <row r="78">
          <cell r="A78" t="str">
            <v>Дальневосточный федеральный округ</v>
          </cell>
          <cell r="AA78" t="str">
            <v>Алтайский край</v>
          </cell>
        </row>
        <row r="79">
          <cell r="A79" t="str">
            <v>Дальневосточный федеральный округ</v>
          </cell>
          <cell r="AA79" t="str">
            <v>Алтайский край</v>
          </cell>
        </row>
        <row r="80">
          <cell r="A80" t="str">
            <v>Дальневосточный федеральный округ</v>
          </cell>
          <cell r="AA80" t="str">
            <v>Алтайский край</v>
          </cell>
        </row>
        <row r="81">
          <cell r="A81" t="str">
            <v>Дальневосточный федеральный округ</v>
          </cell>
          <cell r="AA81" t="str">
            <v>Алтайский край</v>
          </cell>
        </row>
        <row r="82">
          <cell r="A82" t="str">
            <v>Дальневосточный федеральный округ</v>
          </cell>
          <cell r="AA82" t="str">
            <v>Алтайский край</v>
          </cell>
        </row>
        <row r="83">
          <cell r="A83" t="str">
            <v>Дальневосточный федеральный округ</v>
          </cell>
          <cell r="AA83" t="str">
            <v>Алтайский край</v>
          </cell>
        </row>
        <row r="84">
          <cell r="A84" t="str">
            <v>Дальневосточный федеральный округ</v>
          </cell>
          <cell r="AA84" t="str">
            <v>Алтайский край</v>
          </cell>
        </row>
        <row r="85">
          <cell r="A85" t="str">
            <v>Дальневосточный федеральный округ</v>
          </cell>
          <cell r="AA85" t="str">
            <v>Алтайский край</v>
          </cell>
        </row>
        <row r="86">
          <cell r="AA86" t="str">
            <v>Алтайский край</v>
          </cell>
        </row>
        <row r="87">
          <cell r="AA87" t="str">
            <v>Алтайский край</v>
          </cell>
        </row>
        <row r="88">
          <cell r="AA88" t="str">
            <v>Алтайский край</v>
          </cell>
        </row>
        <row r="89">
          <cell r="AA89" t="str">
            <v>Алтайский край</v>
          </cell>
        </row>
        <row r="90">
          <cell r="AA90" t="str">
            <v>Алтайский край</v>
          </cell>
        </row>
        <row r="91">
          <cell r="AA91" t="str">
            <v>Алтайский край</v>
          </cell>
        </row>
        <row r="92">
          <cell r="AA92" t="str">
            <v>Алтайский край</v>
          </cell>
        </row>
        <row r="93">
          <cell r="AA93" t="str">
            <v>Алтайский край</v>
          </cell>
        </row>
        <row r="94">
          <cell r="AA94" t="str">
            <v>Алтайский край</v>
          </cell>
        </row>
        <row r="95">
          <cell r="AA95" t="str">
            <v>Алтайский край</v>
          </cell>
        </row>
        <row r="96">
          <cell r="AA96" t="str">
            <v>Алтайский край</v>
          </cell>
        </row>
        <row r="97">
          <cell r="AA97" t="str">
            <v>Алтайский край</v>
          </cell>
        </row>
        <row r="98">
          <cell r="AA98" t="str">
            <v>Амурская область</v>
          </cell>
        </row>
        <row r="99">
          <cell r="AA99" t="str">
            <v>Амурская область</v>
          </cell>
        </row>
        <row r="100">
          <cell r="AA100" t="str">
            <v>Амурская область</v>
          </cell>
        </row>
        <row r="101">
          <cell r="AA101" t="str">
            <v>Амурская область</v>
          </cell>
        </row>
        <row r="102">
          <cell r="AA102" t="str">
            <v>Амурская область</v>
          </cell>
        </row>
        <row r="103">
          <cell r="AA103" t="str">
            <v>Амурская область</v>
          </cell>
        </row>
        <row r="104">
          <cell r="AA104" t="str">
            <v>Амурская область</v>
          </cell>
        </row>
        <row r="105">
          <cell r="AA105" t="str">
            <v>Амурская область</v>
          </cell>
        </row>
        <row r="106">
          <cell r="AA106" t="str">
            <v>Амурская область</v>
          </cell>
        </row>
        <row r="107">
          <cell r="AA107" t="str">
            <v>Амурская область</v>
          </cell>
        </row>
        <row r="108">
          <cell r="AA108" t="str">
            <v>Амурская область</v>
          </cell>
        </row>
        <row r="109">
          <cell r="AA109" t="str">
            <v>Амурская область</v>
          </cell>
        </row>
        <row r="110">
          <cell r="AA110" t="str">
            <v>Амурская область</v>
          </cell>
        </row>
        <row r="111">
          <cell r="AA111" t="str">
            <v>Амурская область</v>
          </cell>
        </row>
        <row r="112">
          <cell r="AA112" t="str">
            <v>Амурская область</v>
          </cell>
        </row>
        <row r="113">
          <cell r="AA113" t="str">
            <v>Амурская область</v>
          </cell>
        </row>
        <row r="114">
          <cell r="AA114" t="str">
            <v>Амурская область</v>
          </cell>
        </row>
        <row r="115">
          <cell r="AA115" t="str">
            <v>Амурская область</v>
          </cell>
        </row>
        <row r="116">
          <cell r="AA116" t="str">
            <v>Амурская область</v>
          </cell>
        </row>
        <row r="117">
          <cell r="AA117" t="str">
            <v>Амурская область</v>
          </cell>
        </row>
        <row r="118">
          <cell r="AA118" t="str">
            <v>Амурская область</v>
          </cell>
        </row>
        <row r="119">
          <cell r="AA119" t="str">
            <v>Амурская область</v>
          </cell>
        </row>
        <row r="120">
          <cell r="AA120" t="str">
            <v>Амурская область</v>
          </cell>
        </row>
        <row r="121">
          <cell r="AA121" t="str">
            <v>Амурская область</v>
          </cell>
        </row>
        <row r="122">
          <cell r="AA122" t="str">
            <v>Амурская область</v>
          </cell>
        </row>
        <row r="123">
          <cell r="AA123" t="str">
            <v>Амурская область</v>
          </cell>
        </row>
        <row r="124">
          <cell r="AA124" t="str">
            <v>Амурская область</v>
          </cell>
        </row>
        <row r="125">
          <cell r="AA125" t="str">
            <v>Амурская область</v>
          </cell>
        </row>
        <row r="126">
          <cell r="AA126" t="str">
            <v>Архангельская область</v>
          </cell>
        </row>
        <row r="127">
          <cell r="AA127" t="str">
            <v>Архангельская область</v>
          </cell>
        </row>
        <row r="128">
          <cell r="AA128" t="str">
            <v>Архангельская область</v>
          </cell>
        </row>
        <row r="129">
          <cell r="AA129" t="str">
            <v>Архангельская область</v>
          </cell>
        </row>
        <row r="130">
          <cell r="AA130" t="str">
            <v>Архангельская область</v>
          </cell>
        </row>
        <row r="131">
          <cell r="AA131" t="str">
            <v>Архангельская область</v>
          </cell>
        </row>
        <row r="132">
          <cell r="AA132" t="str">
            <v>Архангельская область</v>
          </cell>
        </row>
        <row r="133">
          <cell r="AA133" t="str">
            <v>Архангельская область</v>
          </cell>
        </row>
        <row r="134">
          <cell r="AA134" t="str">
            <v>Архангельская область</v>
          </cell>
        </row>
        <row r="135">
          <cell r="AA135" t="str">
            <v>Архангельская область</v>
          </cell>
        </row>
        <row r="136">
          <cell r="AA136" t="str">
            <v>Архангельская область</v>
          </cell>
        </row>
        <row r="137">
          <cell r="AA137" t="str">
            <v>Архангельская область</v>
          </cell>
        </row>
        <row r="138">
          <cell r="AA138" t="str">
            <v>Архангельская область</v>
          </cell>
        </row>
        <row r="139">
          <cell r="AA139" t="str">
            <v>Архангельская область</v>
          </cell>
        </row>
        <row r="140">
          <cell r="AA140" t="str">
            <v>Архангельская область</v>
          </cell>
        </row>
        <row r="141">
          <cell r="AA141" t="str">
            <v>Архангельская область</v>
          </cell>
        </row>
        <row r="142">
          <cell r="AA142" t="str">
            <v>Архангельская область</v>
          </cell>
        </row>
        <row r="143">
          <cell r="AA143" t="str">
            <v>Архангельская область</v>
          </cell>
        </row>
        <row r="144">
          <cell r="AA144" t="str">
            <v>Архангельская область</v>
          </cell>
        </row>
        <row r="145">
          <cell r="AA145" t="str">
            <v>Архангельская область</v>
          </cell>
        </row>
        <row r="146">
          <cell r="AA146" t="str">
            <v>Архангельская область</v>
          </cell>
        </row>
        <row r="147">
          <cell r="AA147" t="str">
            <v>Архангельская область</v>
          </cell>
        </row>
        <row r="148">
          <cell r="AA148" t="str">
            <v>Архангельская область</v>
          </cell>
        </row>
        <row r="149">
          <cell r="AA149" t="str">
            <v>Архангельская область</v>
          </cell>
        </row>
        <row r="150">
          <cell r="AA150" t="str">
            <v>Архангельская область</v>
          </cell>
        </row>
        <row r="151">
          <cell r="AA151" t="str">
            <v>Архангельская область</v>
          </cell>
        </row>
        <row r="152">
          <cell r="AA152" t="str">
            <v>Архангельская область</v>
          </cell>
        </row>
        <row r="153">
          <cell r="AA153" t="str">
            <v>Архангельская область</v>
          </cell>
        </row>
        <row r="154">
          <cell r="AA154" t="str">
            <v>Архангельская область</v>
          </cell>
        </row>
        <row r="155">
          <cell r="AA155" t="str">
            <v>Архангельская область</v>
          </cell>
        </row>
        <row r="156">
          <cell r="AA156" t="str">
            <v>Архангельская область</v>
          </cell>
        </row>
        <row r="157">
          <cell r="AA157" t="str">
            <v>Архангельская область</v>
          </cell>
        </row>
        <row r="158">
          <cell r="AA158" t="str">
            <v>Архангельская область</v>
          </cell>
        </row>
        <row r="159">
          <cell r="AA159" t="str">
            <v>Астраханская область</v>
          </cell>
        </row>
        <row r="160">
          <cell r="AA160" t="str">
            <v>Астраханская область</v>
          </cell>
        </row>
        <row r="161">
          <cell r="AA161" t="str">
            <v>Астраханская область</v>
          </cell>
        </row>
        <row r="162">
          <cell r="AA162" t="str">
            <v>Астраханская область</v>
          </cell>
        </row>
        <row r="163">
          <cell r="AA163" t="str">
            <v>Астраханская область</v>
          </cell>
        </row>
        <row r="164">
          <cell r="AA164" t="str">
            <v>Астраханская область</v>
          </cell>
        </row>
        <row r="165">
          <cell r="AA165" t="str">
            <v>Астраханская область</v>
          </cell>
        </row>
        <row r="166">
          <cell r="AA166" t="str">
            <v>Астраханская область</v>
          </cell>
        </row>
        <row r="167">
          <cell r="AA167" t="str">
            <v>Астраханская область</v>
          </cell>
        </row>
        <row r="168">
          <cell r="AA168" t="str">
            <v>Астраханская область</v>
          </cell>
        </row>
        <row r="169">
          <cell r="AA169" t="str">
            <v>Астраханская область</v>
          </cell>
        </row>
        <row r="170">
          <cell r="AA170" t="str">
            <v>Астраханская область</v>
          </cell>
        </row>
        <row r="171">
          <cell r="AA171" t="str">
            <v>Астраханская область</v>
          </cell>
        </row>
        <row r="172">
          <cell r="AA172" t="str">
            <v>Астраханская область</v>
          </cell>
        </row>
        <row r="173">
          <cell r="AA173" t="str">
            <v>Астраханская область</v>
          </cell>
        </row>
        <row r="174">
          <cell r="AA174" t="str">
            <v>Астраханская область</v>
          </cell>
        </row>
        <row r="175">
          <cell r="AA175" t="str">
            <v>Астраханская область</v>
          </cell>
        </row>
        <row r="176">
          <cell r="AA176" t="str">
            <v>Астраханская область</v>
          </cell>
        </row>
        <row r="177">
          <cell r="AA177" t="str">
            <v>Астраханская область</v>
          </cell>
        </row>
        <row r="178">
          <cell r="AA178" t="str">
            <v>Астраханская область</v>
          </cell>
        </row>
        <row r="179">
          <cell r="AA179" t="str">
            <v>Астраханская область</v>
          </cell>
        </row>
        <row r="180">
          <cell r="AA180" t="str">
            <v>Астраханская область</v>
          </cell>
        </row>
        <row r="181">
          <cell r="AA181" t="str">
            <v>Астраханская область</v>
          </cell>
        </row>
        <row r="182">
          <cell r="AA182" t="str">
            <v>Белгородская область</v>
          </cell>
        </row>
        <row r="183">
          <cell r="AA183" t="str">
            <v>Белгородская область</v>
          </cell>
        </row>
        <row r="184">
          <cell r="AA184" t="str">
            <v>Белгородская область</v>
          </cell>
        </row>
        <row r="185">
          <cell r="AA185" t="str">
            <v>Белгородская область</v>
          </cell>
        </row>
        <row r="186">
          <cell r="AA186" t="str">
            <v>Белгородская область</v>
          </cell>
        </row>
        <row r="187">
          <cell r="AA187" t="str">
            <v>Белгородская область</v>
          </cell>
        </row>
        <row r="188">
          <cell r="AA188" t="str">
            <v>Белгородская область</v>
          </cell>
        </row>
        <row r="189">
          <cell r="AA189" t="str">
            <v>Белгородская область</v>
          </cell>
        </row>
        <row r="190">
          <cell r="AA190" t="str">
            <v>Белгородская область</v>
          </cell>
        </row>
        <row r="191">
          <cell r="AA191" t="str">
            <v>Белгородская область</v>
          </cell>
        </row>
        <row r="192">
          <cell r="AA192" t="str">
            <v>Белгородская область</v>
          </cell>
        </row>
        <row r="193">
          <cell r="AA193" t="str">
            <v>Белгородская область</v>
          </cell>
        </row>
        <row r="194">
          <cell r="AA194" t="str">
            <v>Белгородская область</v>
          </cell>
        </row>
        <row r="195">
          <cell r="AA195" t="str">
            <v>Белгородская область</v>
          </cell>
        </row>
        <row r="196">
          <cell r="AA196" t="str">
            <v>Белгородская область</v>
          </cell>
        </row>
        <row r="197">
          <cell r="AA197" t="str">
            <v>Белгородская область</v>
          </cell>
        </row>
        <row r="198">
          <cell r="AA198" t="str">
            <v>Белгородская область</v>
          </cell>
        </row>
        <row r="199">
          <cell r="AA199" t="str">
            <v>Белгородская область</v>
          </cell>
        </row>
        <row r="200">
          <cell r="AA200" t="str">
            <v>Белгородская область</v>
          </cell>
        </row>
        <row r="201">
          <cell r="AA201" t="str">
            <v>Белгородская область</v>
          </cell>
        </row>
        <row r="202">
          <cell r="AA202" t="str">
            <v>Белгородская область</v>
          </cell>
        </row>
        <row r="203">
          <cell r="AA203" t="str">
            <v>Белгородская область</v>
          </cell>
        </row>
        <row r="204">
          <cell r="AA204" t="str">
            <v>Белгородская область</v>
          </cell>
        </row>
        <row r="205">
          <cell r="AA205" t="str">
            <v>Белгородская область</v>
          </cell>
        </row>
        <row r="206">
          <cell r="AA206" t="str">
            <v>Белгородская область</v>
          </cell>
        </row>
        <row r="207">
          <cell r="AA207" t="str">
            <v>Белгородская область</v>
          </cell>
        </row>
        <row r="208">
          <cell r="AA208" t="str">
            <v>Белгородская область</v>
          </cell>
        </row>
        <row r="209">
          <cell r="AA209" t="str">
            <v>Белгородская область</v>
          </cell>
        </row>
        <row r="210">
          <cell r="AA210" t="str">
            <v>Белгородская область</v>
          </cell>
        </row>
        <row r="211">
          <cell r="AA211" t="str">
            <v>Белгородская область</v>
          </cell>
        </row>
        <row r="212">
          <cell r="AA212" t="str">
            <v>Белгородская область</v>
          </cell>
        </row>
        <row r="213">
          <cell r="AA213" t="str">
            <v>Белгородская область</v>
          </cell>
        </row>
        <row r="214">
          <cell r="AA214" t="str">
            <v>Белгородская область</v>
          </cell>
        </row>
        <row r="215">
          <cell r="AA215" t="str">
            <v>Белгородская область</v>
          </cell>
        </row>
        <row r="216">
          <cell r="AA216" t="str">
            <v>Белгородская область</v>
          </cell>
        </row>
        <row r="217">
          <cell r="AA217" t="str">
            <v>Белгородская область</v>
          </cell>
        </row>
        <row r="218">
          <cell r="AA218" t="str">
            <v>Брянская область</v>
          </cell>
        </row>
        <row r="219">
          <cell r="AA219" t="str">
            <v>Брянская область</v>
          </cell>
        </row>
        <row r="220">
          <cell r="AA220" t="str">
            <v>Брянская область</v>
          </cell>
        </row>
        <row r="221">
          <cell r="AA221" t="str">
            <v>Брянская область</v>
          </cell>
        </row>
        <row r="222">
          <cell r="AA222" t="str">
            <v>Брянская область</v>
          </cell>
        </row>
        <row r="223">
          <cell r="AA223" t="str">
            <v>Брянская область</v>
          </cell>
        </row>
        <row r="224">
          <cell r="AA224" t="str">
            <v>Брянская область</v>
          </cell>
        </row>
        <row r="225">
          <cell r="AA225" t="str">
            <v>Брянская область</v>
          </cell>
        </row>
        <row r="226">
          <cell r="AA226" t="str">
            <v>Брянская область</v>
          </cell>
        </row>
        <row r="227">
          <cell r="AA227" t="str">
            <v>Брянская область</v>
          </cell>
        </row>
        <row r="228">
          <cell r="AA228" t="str">
            <v>Брянская область</v>
          </cell>
        </row>
        <row r="229">
          <cell r="AA229" t="str">
            <v>Брянская область</v>
          </cell>
        </row>
        <row r="230">
          <cell r="AA230" t="str">
            <v>Брянская область</v>
          </cell>
        </row>
        <row r="231">
          <cell r="AA231" t="str">
            <v>Брянская область</v>
          </cell>
        </row>
        <row r="232">
          <cell r="AA232" t="str">
            <v>Брянская область</v>
          </cell>
        </row>
        <row r="233">
          <cell r="AA233" t="str">
            <v>Брянская область</v>
          </cell>
        </row>
        <row r="234">
          <cell r="AA234" t="str">
            <v>Брянская область</v>
          </cell>
        </row>
        <row r="235">
          <cell r="AA235" t="str">
            <v>Брянская область</v>
          </cell>
        </row>
        <row r="236">
          <cell r="AA236" t="str">
            <v>Брянская область</v>
          </cell>
        </row>
        <row r="237">
          <cell r="AA237" t="str">
            <v>Брянская область</v>
          </cell>
        </row>
        <row r="238">
          <cell r="AA238" t="str">
            <v>Брянская область</v>
          </cell>
        </row>
        <row r="239">
          <cell r="AA239" t="str">
            <v>Брянская область</v>
          </cell>
        </row>
        <row r="240">
          <cell r="AA240" t="str">
            <v>Брянская область</v>
          </cell>
        </row>
        <row r="241">
          <cell r="AA241" t="str">
            <v>Брянская область</v>
          </cell>
        </row>
        <row r="242">
          <cell r="AA242" t="str">
            <v>Брянская область</v>
          </cell>
        </row>
        <row r="243">
          <cell r="AA243" t="str">
            <v>Брянская область</v>
          </cell>
        </row>
        <row r="244">
          <cell r="AA244" t="str">
            <v>Брянская область</v>
          </cell>
        </row>
        <row r="245">
          <cell r="AA245" t="str">
            <v>Брянская область</v>
          </cell>
        </row>
        <row r="246">
          <cell r="AA246" t="str">
            <v>Брянская область</v>
          </cell>
        </row>
        <row r="247">
          <cell r="AA247" t="str">
            <v>Брянская область</v>
          </cell>
        </row>
        <row r="248">
          <cell r="AA248" t="str">
            <v>Брянская область</v>
          </cell>
        </row>
        <row r="249">
          <cell r="AA249" t="str">
            <v>Брянская область</v>
          </cell>
        </row>
        <row r="250">
          <cell r="AA250" t="str">
            <v>Брянская область</v>
          </cell>
        </row>
        <row r="251">
          <cell r="AA251" t="str">
            <v>Брянская область</v>
          </cell>
        </row>
        <row r="252">
          <cell r="AA252" t="str">
            <v>Брянская область</v>
          </cell>
        </row>
        <row r="253">
          <cell r="AA253" t="str">
            <v>Брянская область</v>
          </cell>
        </row>
        <row r="254">
          <cell r="AA254" t="str">
            <v>Брянская область</v>
          </cell>
        </row>
        <row r="255">
          <cell r="AA255" t="str">
            <v>Брянская область</v>
          </cell>
        </row>
        <row r="256">
          <cell r="AA256" t="str">
            <v>Брянская область</v>
          </cell>
        </row>
        <row r="257">
          <cell r="AA257" t="str">
            <v>Брянская область</v>
          </cell>
        </row>
        <row r="258">
          <cell r="AA258" t="str">
            <v>Брянская область</v>
          </cell>
        </row>
        <row r="259">
          <cell r="AA259" t="str">
            <v>Владимирская область</v>
          </cell>
        </row>
        <row r="260">
          <cell r="AA260" t="str">
            <v>Владимирская область</v>
          </cell>
        </row>
        <row r="261">
          <cell r="AA261" t="str">
            <v>Владимирская область</v>
          </cell>
        </row>
        <row r="262">
          <cell r="AA262" t="str">
            <v>Владимирская область</v>
          </cell>
        </row>
        <row r="263">
          <cell r="AA263" t="str">
            <v>Владимирская область</v>
          </cell>
        </row>
        <row r="264">
          <cell r="AA264" t="str">
            <v>Владимирская область</v>
          </cell>
        </row>
        <row r="265">
          <cell r="AA265" t="str">
            <v>Владимирская область</v>
          </cell>
        </row>
        <row r="266">
          <cell r="AA266" t="str">
            <v>Владимирская область</v>
          </cell>
        </row>
        <row r="267">
          <cell r="AA267" t="str">
            <v>Владимирская область</v>
          </cell>
        </row>
        <row r="268">
          <cell r="AA268" t="str">
            <v>Владимирская область</v>
          </cell>
        </row>
        <row r="269">
          <cell r="AA269" t="str">
            <v>Владимирская область</v>
          </cell>
        </row>
        <row r="270">
          <cell r="AA270" t="str">
            <v>Владимирская область</v>
          </cell>
        </row>
        <row r="271">
          <cell r="AA271" t="str">
            <v>Владимирская область</v>
          </cell>
        </row>
        <row r="272">
          <cell r="AA272" t="str">
            <v>Владимирская область</v>
          </cell>
        </row>
        <row r="273">
          <cell r="AA273" t="str">
            <v>Владимирская область</v>
          </cell>
        </row>
        <row r="274">
          <cell r="AA274" t="str">
            <v>Владимирская область</v>
          </cell>
        </row>
        <row r="275">
          <cell r="AA275" t="str">
            <v>Владимирская область</v>
          </cell>
        </row>
        <row r="276">
          <cell r="AA276" t="str">
            <v>Владимирская область</v>
          </cell>
        </row>
        <row r="277">
          <cell r="AA277" t="str">
            <v>Владимирская область</v>
          </cell>
        </row>
        <row r="278">
          <cell r="AA278" t="str">
            <v>Владимирская область</v>
          </cell>
        </row>
        <row r="279">
          <cell r="AA279" t="str">
            <v>Владимирская область</v>
          </cell>
        </row>
        <row r="280">
          <cell r="AA280" t="str">
            <v>Владимирская область</v>
          </cell>
        </row>
        <row r="281">
          <cell r="AA281" t="str">
            <v>Владимирская область</v>
          </cell>
        </row>
        <row r="282">
          <cell r="AA282" t="str">
            <v>Владимирская область</v>
          </cell>
        </row>
        <row r="283">
          <cell r="AA283" t="str">
            <v>Владимирская область</v>
          </cell>
        </row>
        <row r="284">
          <cell r="AA284" t="str">
            <v>Владимирская область</v>
          </cell>
        </row>
        <row r="285">
          <cell r="AA285" t="str">
            <v>Владимирская область</v>
          </cell>
        </row>
        <row r="286">
          <cell r="AA286" t="str">
            <v>Владимирская область</v>
          </cell>
        </row>
        <row r="287">
          <cell r="AA287" t="str">
            <v>Владимирская область</v>
          </cell>
        </row>
        <row r="288">
          <cell r="AA288" t="str">
            <v>Владимирская область</v>
          </cell>
        </row>
        <row r="289">
          <cell r="AA289" t="str">
            <v>Владимирская область</v>
          </cell>
        </row>
        <row r="290">
          <cell r="AA290" t="str">
            <v>Владимирская область</v>
          </cell>
        </row>
        <row r="291">
          <cell r="AA291" t="str">
            <v>Владимирская область</v>
          </cell>
        </row>
        <row r="292">
          <cell r="AA292" t="str">
            <v>Владимирская область</v>
          </cell>
        </row>
        <row r="293">
          <cell r="AA293" t="str">
            <v>Владимирская область</v>
          </cell>
        </row>
        <row r="294">
          <cell r="AA294" t="str">
            <v>Владимирская область</v>
          </cell>
        </row>
        <row r="295">
          <cell r="AA295" t="str">
            <v>Владимирская область</v>
          </cell>
        </row>
        <row r="296">
          <cell r="AA296" t="str">
            <v>Владимирская область</v>
          </cell>
        </row>
        <row r="297">
          <cell r="AA297" t="str">
            <v>Владимирская область</v>
          </cell>
        </row>
        <row r="298">
          <cell r="AA298" t="str">
            <v>Владимирская область</v>
          </cell>
        </row>
        <row r="299">
          <cell r="AA299" t="str">
            <v>Владимирская область</v>
          </cell>
        </row>
        <row r="300">
          <cell r="AA300" t="str">
            <v>Владимирская область</v>
          </cell>
        </row>
        <row r="301">
          <cell r="AA301" t="str">
            <v>Владимирская область</v>
          </cell>
        </row>
        <row r="302">
          <cell r="AA302" t="str">
            <v>Волгоградская область</v>
          </cell>
        </row>
        <row r="303">
          <cell r="AA303" t="str">
            <v>Волгоградская область</v>
          </cell>
        </row>
        <row r="304">
          <cell r="AA304" t="str">
            <v>Волгоградская область</v>
          </cell>
        </row>
        <row r="305">
          <cell r="AA305" t="str">
            <v>Волгоградская область</v>
          </cell>
        </row>
        <row r="306">
          <cell r="AA306" t="str">
            <v>Волгоградская область</v>
          </cell>
        </row>
        <row r="307">
          <cell r="AA307" t="str">
            <v>Волгоградская область</v>
          </cell>
        </row>
        <row r="308">
          <cell r="AA308" t="str">
            <v>Волгоградская область</v>
          </cell>
        </row>
        <row r="309">
          <cell r="AA309" t="str">
            <v>Волгоградская область</v>
          </cell>
        </row>
        <row r="310">
          <cell r="AA310" t="str">
            <v>Волгоградская область</v>
          </cell>
        </row>
        <row r="311">
          <cell r="AA311" t="str">
            <v>Волгоградская область</v>
          </cell>
        </row>
        <row r="312">
          <cell r="AA312" t="str">
            <v>Волгоградская область</v>
          </cell>
        </row>
        <row r="313">
          <cell r="AA313" t="str">
            <v>Волгоградская область</v>
          </cell>
        </row>
        <row r="314">
          <cell r="AA314" t="str">
            <v>Волгоградская область</v>
          </cell>
        </row>
        <row r="315">
          <cell r="AA315" t="str">
            <v>Волгоградская область</v>
          </cell>
        </row>
        <row r="316">
          <cell r="AA316" t="str">
            <v>Волгоградская область</v>
          </cell>
        </row>
        <row r="317">
          <cell r="AA317" t="str">
            <v>Волгоградская область</v>
          </cell>
        </row>
        <row r="318">
          <cell r="AA318" t="str">
            <v>Волгоградская область</v>
          </cell>
        </row>
        <row r="319">
          <cell r="AA319" t="str">
            <v>Волгоградская область</v>
          </cell>
        </row>
        <row r="320">
          <cell r="AA320" t="str">
            <v>Волгоградская область</v>
          </cell>
        </row>
        <row r="321">
          <cell r="AA321" t="str">
            <v>Волгоградская область</v>
          </cell>
        </row>
        <row r="322">
          <cell r="AA322" t="str">
            <v>Волгоградская область</v>
          </cell>
        </row>
        <row r="323">
          <cell r="AA323" t="str">
            <v>Волгоградская область</v>
          </cell>
        </row>
        <row r="324">
          <cell r="AA324" t="str">
            <v>Волгоградская область</v>
          </cell>
        </row>
        <row r="325">
          <cell r="AA325" t="str">
            <v>Волгоградская область</v>
          </cell>
        </row>
        <row r="326">
          <cell r="AA326" t="str">
            <v>Волгоградская область</v>
          </cell>
        </row>
        <row r="327">
          <cell r="AA327" t="str">
            <v>Волгоградская область</v>
          </cell>
        </row>
        <row r="328">
          <cell r="AA328" t="str">
            <v>Волгоградская область</v>
          </cell>
        </row>
        <row r="329">
          <cell r="AA329" t="str">
            <v>Волгоградская область</v>
          </cell>
        </row>
        <row r="330">
          <cell r="AA330" t="str">
            <v>Волгоградская область</v>
          </cell>
        </row>
        <row r="331">
          <cell r="AA331" t="str">
            <v>Волгоградская область</v>
          </cell>
        </row>
        <row r="332">
          <cell r="AA332" t="str">
            <v>Волгоградская область</v>
          </cell>
        </row>
        <row r="333">
          <cell r="AA333" t="str">
            <v>Волгоградская область</v>
          </cell>
        </row>
        <row r="334">
          <cell r="AA334" t="str">
            <v>Волгоградская область</v>
          </cell>
        </row>
        <row r="335">
          <cell r="AA335" t="str">
            <v>Волгоградская область</v>
          </cell>
        </row>
        <row r="336">
          <cell r="AA336" t="str">
            <v>Волгоградская область</v>
          </cell>
        </row>
        <row r="337">
          <cell r="AA337" t="str">
            <v>Волгоградская область</v>
          </cell>
        </row>
        <row r="338">
          <cell r="AA338" t="str">
            <v>Волгоградская область</v>
          </cell>
        </row>
        <row r="339">
          <cell r="AA339" t="str">
            <v>Волгоградская область</v>
          </cell>
        </row>
        <row r="340">
          <cell r="AA340" t="str">
            <v>Волгоградская область</v>
          </cell>
        </row>
        <row r="341">
          <cell r="AA341" t="str">
            <v>Волгоградская область</v>
          </cell>
        </row>
        <row r="342">
          <cell r="AA342" t="str">
            <v>Волгоградская область</v>
          </cell>
        </row>
        <row r="343">
          <cell r="AA343" t="str">
            <v>Волгоградская область</v>
          </cell>
        </row>
        <row r="344">
          <cell r="AA344" t="str">
            <v>Волгоградская область</v>
          </cell>
        </row>
        <row r="345">
          <cell r="AA345" t="str">
            <v>Волгоградская область</v>
          </cell>
        </row>
        <row r="346">
          <cell r="AA346" t="str">
            <v>Волгоградская область</v>
          </cell>
        </row>
        <row r="347">
          <cell r="AA347" t="str">
            <v>Волгоградская область</v>
          </cell>
        </row>
        <row r="348">
          <cell r="AA348" t="str">
            <v>Волгоградская область</v>
          </cell>
        </row>
        <row r="349">
          <cell r="AA349" t="str">
            <v>Волгоградская область</v>
          </cell>
        </row>
        <row r="350">
          <cell r="AA350" t="str">
            <v>Волгоградская область</v>
          </cell>
        </row>
        <row r="351">
          <cell r="AA351" t="str">
            <v>Волгоградская область</v>
          </cell>
        </row>
        <row r="352">
          <cell r="AA352" t="str">
            <v>Волгоградская область</v>
          </cell>
        </row>
        <row r="353">
          <cell r="AA353" t="str">
            <v>Волгоградская область</v>
          </cell>
        </row>
        <row r="354">
          <cell r="AA354" t="str">
            <v>Волгоградская область</v>
          </cell>
        </row>
        <row r="355">
          <cell r="AA355" t="str">
            <v>Волгоградская область</v>
          </cell>
        </row>
        <row r="356">
          <cell r="AA356" t="str">
            <v>Волгоградская область</v>
          </cell>
        </row>
        <row r="357">
          <cell r="AA357" t="str">
            <v>Волгоградская область</v>
          </cell>
        </row>
        <row r="358">
          <cell r="AA358" t="str">
            <v>Волгоградская область</v>
          </cell>
        </row>
        <row r="359">
          <cell r="AA359" t="str">
            <v>Волгоградская область</v>
          </cell>
        </row>
        <row r="360">
          <cell r="AA360" t="str">
            <v>Волгоградская область</v>
          </cell>
        </row>
        <row r="361">
          <cell r="AA361" t="str">
            <v>Волгоградская область</v>
          </cell>
        </row>
        <row r="362">
          <cell r="AA362" t="str">
            <v>Волгоградская область</v>
          </cell>
        </row>
        <row r="363">
          <cell r="AA363" t="str">
            <v>Волгоградская область</v>
          </cell>
        </row>
        <row r="364">
          <cell r="AA364" t="str">
            <v>Волгоградская область</v>
          </cell>
        </row>
        <row r="365">
          <cell r="AA365" t="str">
            <v>Волгоградская область</v>
          </cell>
        </row>
        <row r="366">
          <cell r="AA366" t="str">
            <v>Волгоградская область</v>
          </cell>
        </row>
        <row r="367">
          <cell r="AA367" t="str">
            <v>Волгоградская область</v>
          </cell>
        </row>
        <row r="368">
          <cell r="AA368" t="str">
            <v>Волгоградская область</v>
          </cell>
        </row>
        <row r="369">
          <cell r="AA369" t="str">
            <v>Вологодская область</v>
          </cell>
        </row>
        <row r="370">
          <cell r="AA370" t="str">
            <v>Вологодская область</v>
          </cell>
        </row>
        <row r="371">
          <cell r="AA371" t="str">
            <v>Вологодская область</v>
          </cell>
        </row>
        <row r="372">
          <cell r="AA372" t="str">
            <v>Вологодская область</v>
          </cell>
        </row>
        <row r="373">
          <cell r="AA373" t="str">
            <v>Вологодская область</v>
          </cell>
        </row>
        <row r="374">
          <cell r="AA374" t="str">
            <v>Вологодская область</v>
          </cell>
        </row>
        <row r="375">
          <cell r="AA375" t="str">
            <v>Вологодская область</v>
          </cell>
        </row>
        <row r="376">
          <cell r="AA376" t="str">
            <v>Вологодская область</v>
          </cell>
        </row>
        <row r="377">
          <cell r="AA377" t="str">
            <v>Вологодская область</v>
          </cell>
        </row>
        <row r="378">
          <cell r="AA378" t="str">
            <v>Вологодская область</v>
          </cell>
        </row>
        <row r="379">
          <cell r="AA379" t="str">
            <v>Вологодская область</v>
          </cell>
        </row>
        <row r="380">
          <cell r="AA380" t="str">
            <v>Вологодская область</v>
          </cell>
        </row>
        <row r="381">
          <cell r="AA381" t="str">
            <v>Вологодская область</v>
          </cell>
        </row>
        <row r="382">
          <cell r="AA382" t="str">
            <v>Вологодская область</v>
          </cell>
        </row>
        <row r="383">
          <cell r="AA383" t="str">
            <v>Вологодская область</v>
          </cell>
        </row>
        <row r="384">
          <cell r="AA384" t="str">
            <v>Вологодская область</v>
          </cell>
        </row>
        <row r="385">
          <cell r="AA385" t="str">
            <v>Вологодская область</v>
          </cell>
        </row>
        <row r="386">
          <cell r="AA386" t="str">
            <v>Вологодская область</v>
          </cell>
        </row>
        <row r="387">
          <cell r="AA387" t="str">
            <v>Вологодская область</v>
          </cell>
        </row>
        <row r="388">
          <cell r="AA388" t="str">
            <v>Вологодская область</v>
          </cell>
        </row>
        <row r="389">
          <cell r="AA389" t="str">
            <v>Вологодская область</v>
          </cell>
        </row>
        <row r="390">
          <cell r="AA390" t="str">
            <v>Вологодская область</v>
          </cell>
        </row>
        <row r="391">
          <cell r="AA391" t="str">
            <v>Вологодская область</v>
          </cell>
        </row>
        <row r="392">
          <cell r="AA392" t="str">
            <v>Вологодская область</v>
          </cell>
        </row>
        <row r="393">
          <cell r="AA393" t="str">
            <v>Вологодская область</v>
          </cell>
        </row>
        <row r="394">
          <cell r="AA394" t="str">
            <v>Вологодская область</v>
          </cell>
        </row>
        <row r="395">
          <cell r="AA395" t="str">
            <v>Вологодская область</v>
          </cell>
        </row>
        <row r="396">
          <cell r="AA396" t="str">
            <v>Вологодская область</v>
          </cell>
        </row>
        <row r="397">
          <cell r="AA397" t="str">
            <v>Вологодская область</v>
          </cell>
        </row>
        <row r="398">
          <cell r="AA398" t="str">
            <v>Вологодская область</v>
          </cell>
        </row>
        <row r="399">
          <cell r="AA399" t="str">
            <v>Вологодская область</v>
          </cell>
        </row>
        <row r="400">
          <cell r="AA400" t="str">
            <v>Вологодская область</v>
          </cell>
        </row>
        <row r="401">
          <cell r="AA401" t="str">
            <v>Вологодская область</v>
          </cell>
        </row>
        <row r="402">
          <cell r="AA402" t="str">
            <v>Вологодская область</v>
          </cell>
        </row>
        <row r="403">
          <cell r="AA403" t="str">
            <v>Вологодская область</v>
          </cell>
        </row>
        <row r="404">
          <cell r="AA404" t="str">
            <v>Вологодская область</v>
          </cell>
        </row>
        <row r="405">
          <cell r="AA405" t="str">
            <v>Вологодская область</v>
          </cell>
        </row>
        <row r="406">
          <cell r="AA406" t="str">
            <v>Вологодская область</v>
          </cell>
        </row>
        <row r="407">
          <cell r="AA407" t="str">
            <v>Вологодская область</v>
          </cell>
        </row>
        <row r="408">
          <cell r="AA408" t="str">
            <v>Вологодская область</v>
          </cell>
        </row>
        <row r="409">
          <cell r="AA409" t="str">
            <v>Вологодская область</v>
          </cell>
        </row>
        <row r="410">
          <cell r="AA410" t="str">
            <v>Вологодская область</v>
          </cell>
        </row>
        <row r="411">
          <cell r="AA411" t="str">
            <v>Вологодская область</v>
          </cell>
        </row>
        <row r="412">
          <cell r="AA412" t="str">
            <v>Воронежская область</v>
          </cell>
        </row>
        <row r="413">
          <cell r="AA413" t="str">
            <v>Воронежская область</v>
          </cell>
        </row>
        <row r="414">
          <cell r="AA414" t="str">
            <v>Воронежская область</v>
          </cell>
        </row>
        <row r="415">
          <cell r="AA415" t="str">
            <v>Воронежская область</v>
          </cell>
        </row>
        <row r="416">
          <cell r="AA416" t="str">
            <v>Воронежская область</v>
          </cell>
        </row>
        <row r="417">
          <cell r="AA417" t="str">
            <v>Воронежская область</v>
          </cell>
        </row>
        <row r="418">
          <cell r="AA418" t="str">
            <v>Воронежская область</v>
          </cell>
        </row>
        <row r="419">
          <cell r="AA419" t="str">
            <v>Воронежская область</v>
          </cell>
        </row>
        <row r="420">
          <cell r="AA420" t="str">
            <v>Воронежская область</v>
          </cell>
        </row>
        <row r="421">
          <cell r="AA421" t="str">
            <v>Воронежская область</v>
          </cell>
        </row>
        <row r="422">
          <cell r="AA422" t="str">
            <v>Воронежская область</v>
          </cell>
        </row>
        <row r="423">
          <cell r="AA423" t="str">
            <v>Воронежская область</v>
          </cell>
        </row>
        <row r="424">
          <cell r="AA424" t="str">
            <v>Воронежская область</v>
          </cell>
        </row>
        <row r="425">
          <cell r="AA425" t="str">
            <v>Воронежская область</v>
          </cell>
        </row>
        <row r="426">
          <cell r="AA426" t="str">
            <v>Воронежская область</v>
          </cell>
        </row>
        <row r="427">
          <cell r="AA427" t="str">
            <v>Воронежская область</v>
          </cell>
        </row>
        <row r="428">
          <cell r="AA428" t="str">
            <v>Воронежская область</v>
          </cell>
        </row>
        <row r="429">
          <cell r="AA429" t="str">
            <v>Воронежская область</v>
          </cell>
        </row>
        <row r="430">
          <cell r="AA430" t="str">
            <v>Воронежская область</v>
          </cell>
        </row>
        <row r="431">
          <cell r="AA431" t="str">
            <v>Воронежская область</v>
          </cell>
        </row>
        <row r="432">
          <cell r="AA432" t="str">
            <v>Воронежская область</v>
          </cell>
        </row>
        <row r="433">
          <cell r="AA433" t="str">
            <v>Воронежская область</v>
          </cell>
        </row>
        <row r="434">
          <cell r="AA434" t="str">
            <v>Воронежская область</v>
          </cell>
        </row>
        <row r="435">
          <cell r="AA435" t="str">
            <v>Воронежская область</v>
          </cell>
        </row>
        <row r="436">
          <cell r="AA436" t="str">
            <v>Воронежская область</v>
          </cell>
        </row>
        <row r="437">
          <cell r="AA437" t="str">
            <v>Воронежская область</v>
          </cell>
        </row>
        <row r="438">
          <cell r="AA438" t="str">
            <v>Воронежская область</v>
          </cell>
        </row>
        <row r="439">
          <cell r="AA439" t="str">
            <v>Воронежская область</v>
          </cell>
        </row>
        <row r="440">
          <cell r="AA440" t="str">
            <v>Воронежская область</v>
          </cell>
        </row>
        <row r="441">
          <cell r="AA441" t="str">
            <v>Воронежская область</v>
          </cell>
        </row>
        <row r="442">
          <cell r="AA442" t="str">
            <v>Воронежская область</v>
          </cell>
        </row>
        <row r="443">
          <cell r="AA443" t="str">
            <v>Воронежская область</v>
          </cell>
        </row>
        <row r="444">
          <cell r="AA444" t="str">
            <v>Воронежская область</v>
          </cell>
        </row>
        <row r="445">
          <cell r="AA445" t="str">
            <v>Воронежская область</v>
          </cell>
        </row>
        <row r="446">
          <cell r="AA446" t="str">
            <v>Воронежская область</v>
          </cell>
        </row>
        <row r="447">
          <cell r="AA447" t="str">
            <v>Воронежская область</v>
          </cell>
        </row>
        <row r="448">
          <cell r="AA448" t="str">
            <v>Воронежская область</v>
          </cell>
        </row>
        <row r="449">
          <cell r="AA449" t="str">
            <v>Воронежская область</v>
          </cell>
        </row>
        <row r="450">
          <cell r="AA450" t="str">
            <v>Воронежская область</v>
          </cell>
        </row>
        <row r="451">
          <cell r="AA451" t="str">
            <v>Воронежская область</v>
          </cell>
        </row>
        <row r="452">
          <cell r="AA452" t="str">
            <v>Воронежская область</v>
          </cell>
        </row>
        <row r="453">
          <cell r="AA453" t="str">
            <v>Воронежская область</v>
          </cell>
        </row>
        <row r="454">
          <cell r="AA454" t="str">
            <v>Воронежская область</v>
          </cell>
        </row>
        <row r="455">
          <cell r="AA455" t="str">
            <v>Воронежская область</v>
          </cell>
        </row>
        <row r="456">
          <cell r="AA456" t="str">
            <v>Воронежская область</v>
          </cell>
        </row>
        <row r="457">
          <cell r="AA457" t="str">
            <v>Воронежская область</v>
          </cell>
        </row>
        <row r="458">
          <cell r="AA458" t="str">
            <v>Воронежская область</v>
          </cell>
        </row>
        <row r="459">
          <cell r="AA459" t="str">
            <v>Воронежская область</v>
          </cell>
        </row>
        <row r="460">
          <cell r="AA460" t="str">
            <v>Воронежская область</v>
          </cell>
        </row>
        <row r="461">
          <cell r="AA461" t="str">
            <v>г. Москва</v>
          </cell>
        </row>
        <row r="462">
          <cell r="AA462" t="str">
            <v>г. Москва</v>
          </cell>
        </row>
        <row r="463">
          <cell r="AA463" t="str">
            <v>г. Москва</v>
          </cell>
        </row>
        <row r="464">
          <cell r="AA464" t="str">
            <v>г. Москва</v>
          </cell>
        </row>
        <row r="465">
          <cell r="AA465" t="str">
            <v>г. Москва</v>
          </cell>
        </row>
        <row r="466">
          <cell r="AA466" t="str">
            <v>г. Москва</v>
          </cell>
        </row>
        <row r="467">
          <cell r="AA467" t="str">
            <v>г. Москва</v>
          </cell>
        </row>
        <row r="468">
          <cell r="AA468" t="str">
            <v>г. Москва</v>
          </cell>
        </row>
        <row r="469">
          <cell r="AA469" t="str">
            <v>г. Москва</v>
          </cell>
        </row>
        <row r="470">
          <cell r="AA470" t="str">
            <v>г. Москва</v>
          </cell>
        </row>
        <row r="471">
          <cell r="AA471" t="str">
            <v>г. Москва</v>
          </cell>
        </row>
        <row r="472">
          <cell r="AA472" t="str">
            <v>г. Москва</v>
          </cell>
        </row>
        <row r="473">
          <cell r="AA473" t="str">
            <v>г. Москва</v>
          </cell>
        </row>
        <row r="474">
          <cell r="AA474" t="str">
            <v>г. Москва</v>
          </cell>
        </row>
        <row r="475">
          <cell r="AA475" t="str">
            <v>г. Москва</v>
          </cell>
        </row>
        <row r="476">
          <cell r="AA476" t="str">
            <v>г. Москва</v>
          </cell>
        </row>
        <row r="477">
          <cell r="AA477" t="str">
            <v>г. Москва</v>
          </cell>
        </row>
        <row r="478">
          <cell r="AA478" t="str">
            <v>г. Москва</v>
          </cell>
        </row>
        <row r="479">
          <cell r="AA479" t="str">
            <v>г. Москва</v>
          </cell>
        </row>
        <row r="480">
          <cell r="AA480" t="str">
            <v>г. Москва</v>
          </cell>
        </row>
        <row r="481">
          <cell r="AA481" t="str">
            <v>г. Москва</v>
          </cell>
        </row>
        <row r="482">
          <cell r="AA482" t="str">
            <v>г. Москва</v>
          </cell>
        </row>
        <row r="483">
          <cell r="AA483" t="str">
            <v>г. Москва</v>
          </cell>
        </row>
        <row r="484">
          <cell r="AA484" t="str">
            <v>г. Москва</v>
          </cell>
        </row>
        <row r="485">
          <cell r="AA485" t="str">
            <v>г. Москва</v>
          </cell>
        </row>
        <row r="486">
          <cell r="AA486" t="str">
            <v>г. Москва</v>
          </cell>
        </row>
        <row r="487">
          <cell r="AA487" t="str">
            <v>г. Москва</v>
          </cell>
        </row>
        <row r="488">
          <cell r="AA488" t="str">
            <v>г. Москва</v>
          </cell>
        </row>
        <row r="489">
          <cell r="AA489" t="str">
            <v>г. Москва</v>
          </cell>
        </row>
        <row r="490">
          <cell r="AA490" t="str">
            <v>г. Москва</v>
          </cell>
        </row>
        <row r="491">
          <cell r="AA491" t="str">
            <v>г. Москва</v>
          </cell>
        </row>
        <row r="492">
          <cell r="AA492" t="str">
            <v>г. Москва</v>
          </cell>
        </row>
        <row r="493">
          <cell r="AA493" t="str">
            <v>г. Москва</v>
          </cell>
        </row>
        <row r="494">
          <cell r="AA494" t="str">
            <v>г. Москва</v>
          </cell>
        </row>
        <row r="495">
          <cell r="AA495" t="str">
            <v>г. Москва</v>
          </cell>
        </row>
        <row r="496">
          <cell r="AA496" t="str">
            <v>г. Москва</v>
          </cell>
        </row>
        <row r="497">
          <cell r="AA497" t="str">
            <v>г. Москва</v>
          </cell>
        </row>
        <row r="498">
          <cell r="AA498" t="str">
            <v>г. Москва</v>
          </cell>
        </row>
        <row r="499">
          <cell r="AA499" t="str">
            <v>г. Москва</v>
          </cell>
        </row>
        <row r="500">
          <cell r="AA500" t="str">
            <v>г. Москва</v>
          </cell>
        </row>
        <row r="501">
          <cell r="AA501" t="str">
            <v>г. Москва</v>
          </cell>
        </row>
        <row r="502">
          <cell r="AA502" t="str">
            <v>г. Москва</v>
          </cell>
        </row>
        <row r="503">
          <cell r="AA503" t="str">
            <v>г. Москва</v>
          </cell>
        </row>
        <row r="504">
          <cell r="AA504" t="str">
            <v>г. Москва</v>
          </cell>
        </row>
        <row r="505">
          <cell r="AA505" t="str">
            <v>г. Москва</v>
          </cell>
        </row>
        <row r="506">
          <cell r="AA506" t="str">
            <v>г. Москва</v>
          </cell>
        </row>
        <row r="507">
          <cell r="AA507" t="str">
            <v>г. Москва</v>
          </cell>
        </row>
        <row r="508">
          <cell r="AA508" t="str">
            <v>г. Москва</v>
          </cell>
        </row>
        <row r="509">
          <cell r="AA509" t="str">
            <v>г. Москва</v>
          </cell>
        </row>
        <row r="510">
          <cell r="AA510" t="str">
            <v>г. Москва</v>
          </cell>
        </row>
        <row r="511">
          <cell r="AA511" t="str">
            <v>г. Москва</v>
          </cell>
        </row>
        <row r="512">
          <cell r="AA512" t="str">
            <v>г. Москва</v>
          </cell>
        </row>
        <row r="513">
          <cell r="AA513" t="str">
            <v>г. Москва</v>
          </cell>
        </row>
        <row r="514">
          <cell r="AA514" t="str">
            <v>г. Москва</v>
          </cell>
        </row>
        <row r="515">
          <cell r="AA515" t="str">
            <v>г. Москва</v>
          </cell>
        </row>
        <row r="516">
          <cell r="AA516" t="str">
            <v>г. Москва</v>
          </cell>
        </row>
        <row r="517">
          <cell r="AA517" t="str">
            <v>г. Москва</v>
          </cell>
        </row>
        <row r="518">
          <cell r="AA518" t="str">
            <v>г. Москва</v>
          </cell>
        </row>
        <row r="519">
          <cell r="AA519" t="str">
            <v>г. Москва</v>
          </cell>
        </row>
        <row r="520">
          <cell r="AA520" t="str">
            <v>г. Москва</v>
          </cell>
        </row>
        <row r="521">
          <cell r="AA521" t="str">
            <v>г. Москва</v>
          </cell>
        </row>
        <row r="522">
          <cell r="AA522" t="str">
            <v>г. Москва</v>
          </cell>
        </row>
        <row r="523">
          <cell r="AA523" t="str">
            <v>г. Москва</v>
          </cell>
        </row>
        <row r="524">
          <cell r="AA524" t="str">
            <v>г. Москва</v>
          </cell>
        </row>
        <row r="525">
          <cell r="AA525" t="str">
            <v>г. Москва</v>
          </cell>
        </row>
        <row r="526">
          <cell r="AA526" t="str">
            <v>г. Москва</v>
          </cell>
        </row>
        <row r="527">
          <cell r="AA527" t="str">
            <v>г. Москва</v>
          </cell>
        </row>
        <row r="528">
          <cell r="AA528" t="str">
            <v>г. Москва</v>
          </cell>
        </row>
        <row r="529">
          <cell r="AA529" t="str">
            <v>г. Москва</v>
          </cell>
        </row>
        <row r="530">
          <cell r="AA530" t="str">
            <v>г. Москва</v>
          </cell>
        </row>
        <row r="531">
          <cell r="AA531" t="str">
            <v>г. Москва</v>
          </cell>
        </row>
        <row r="532">
          <cell r="AA532" t="str">
            <v>г. Москва</v>
          </cell>
        </row>
        <row r="533">
          <cell r="AA533" t="str">
            <v>г. Москва</v>
          </cell>
        </row>
        <row r="534">
          <cell r="AA534" t="str">
            <v>г. Москва</v>
          </cell>
        </row>
        <row r="535">
          <cell r="AA535" t="str">
            <v>г. Москва</v>
          </cell>
        </row>
        <row r="536">
          <cell r="AA536" t="str">
            <v>г. Москва</v>
          </cell>
        </row>
        <row r="537">
          <cell r="AA537" t="str">
            <v>г. Москва</v>
          </cell>
        </row>
        <row r="538">
          <cell r="AA538" t="str">
            <v>г. Москва</v>
          </cell>
        </row>
        <row r="539">
          <cell r="AA539" t="str">
            <v>г. Москва</v>
          </cell>
        </row>
        <row r="540">
          <cell r="AA540" t="str">
            <v>г. Москва</v>
          </cell>
        </row>
        <row r="541">
          <cell r="AA541" t="str">
            <v>г. Москва</v>
          </cell>
        </row>
        <row r="542">
          <cell r="AA542" t="str">
            <v>г. Москва</v>
          </cell>
        </row>
        <row r="543">
          <cell r="AA543" t="str">
            <v>г. Москва</v>
          </cell>
        </row>
        <row r="544">
          <cell r="AA544" t="str">
            <v>г. Москва</v>
          </cell>
        </row>
        <row r="545">
          <cell r="AA545" t="str">
            <v>г. Москва</v>
          </cell>
        </row>
        <row r="546">
          <cell r="AA546" t="str">
            <v>г. Москва</v>
          </cell>
        </row>
        <row r="547">
          <cell r="AA547" t="str">
            <v>г. Москва</v>
          </cell>
        </row>
        <row r="548">
          <cell r="AA548" t="str">
            <v>г. Москва</v>
          </cell>
        </row>
        <row r="549">
          <cell r="AA549" t="str">
            <v>г. Москва</v>
          </cell>
        </row>
        <row r="550">
          <cell r="AA550" t="str">
            <v>г. Москва</v>
          </cell>
        </row>
        <row r="551">
          <cell r="AA551" t="str">
            <v>г. Москва</v>
          </cell>
        </row>
        <row r="552">
          <cell r="AA552" t="str">
            <v>г. Москва</v>
          </cell>
        </row>
        <row r="553">
          <cell r="AA553" t="str">
            <v>г. Москва</v>
          </cell>
        </row>
        <row r="554">
          <cell r="AA554" t="str">
            <v>г. Москва</v>
          </cell>
        </row>
        <row r="555">
          <cell r="AA555" t="str">
            <v>г. Москва</v>
          </cell>
        </row>
        <row r="556">
          <cell r="AA556" t="str">
            <v>г. Москва</v>
          </cell>
        </row>
        <row r="557">
          <cell r="AA557" t="str">
            <v>г. Москва</v>
          </cell>
        </row>
        <row r="558">
          <cell r="AA558" t="str">
            <v>г. Москва</v>
          </cell>
        </row>
        <row r="559">
          <cell r="AA559" t="str">
            <v>г. Москва</v>
          </cell>
        </row>
        <row r="560">
          <cell r="AA560" t="str">
            <v>г. Москва</v>
          </cell>
        </row>
        <row r="561">
          <cell r="AA561" t="str">
            <v>г. Москва</v>
          </cell>
        </row>
        <row r="562">
          <cell r="AA562" t="str">
            <v>г. Москва</v>
          </cell>
        </row>
        <row r="563">
          <cell r="AA563" t="str">
            <v>г. Москва</v>
          </cell>
        </row>
        <row r="564">
          <cell r="AA564" t="str">
            <v>г. Москва</v>
          </cell>
        </row>
        <row r="565">
          <cell r="AA565" t="str">
            <v>г. Москва</v>
          </cell>
        </row>
        <row r="566">
          <cell r="AA566" t="str">
            <v>г. Москва</v>
          </cell>
        </row>
        <row r="567">
          <cell r="AA567" t="str">
            <v>г. Санкт-Петербург</v>
          </cell>
        </row>
        <row r="568">
          <cell r="AA568" t="str">
            <v>г. Санкт-Петербург</v>
          </cell>
        </row>
        <row r="569">
          <cell r="AA569" t="str">
            <v>г. Санкт-Петербург</v>
          </cell>
        </row>
        <row r="570">
          <cell r="AA570" t="str">
            <v>г. Санкт-Петербург</v>
          </cell>
        </row>
        <row r="571">
          <cell r="AA571" t="str">
            <v>г. Санкт-Петербург</v>
          </cell>
        </row>
        <row r="572">
          <cell r="AA572" t="str">
            <v>г. Санкт-Петербург</v>
          </cell>
        </row>
        <row r="573">
          <cell r="AA573" t="str">
            <v>г. Санкт-Петербург</v>
          </cell>
        </row>
        <row r="574">
          <cell r="AA574" t="str">
            <v>г. Санкт-Петербург</v>
          </cell>
        </row>
        <row r="575">
          <cell r="AA575" t="str">
            <v>г. Санкт-Петербург</v>
          </cell>
        </row>
        <row r="576">
          <cell r="AA576" t="str">
            <v>г. Санкт-Петербург</v>
          </cell>
        </row>
        <row r="577">
          <cell r="AA577" t="str">
            <v>г. Санкт-Петербург</v>
          </cell>
        </row>
        <row r="578">
          <cell r="AA578" t="str">
            <v>г. Санкт-Петербург</v>
          </cell>
        </row>
        <row r="579">
          <cell r="AA579" t="str">
            <v>г. Санкт-Петербург</v>
          </cell>
        </row>
        <row r="580">
          <cell r="AA580" t="str">
            <v>г. Санкт-Петербург</v>
          </cell>
        </row>
        <row r="581">
          <cell r="AA581" t="str">
            <v>г. Санкт-Петербург</v>
          </cell>
        </row>
        <row r="582">
          <cell r="AA582" t="str">
            <v>г. Санкт-Петербург</v>
          </cell>
        </row>
        <row r="583">
          <cell r="AA583" t="str">
            <v>г. Санкт-Петербург</v>
          </cell>
        </row>
        <row r="584">
          <cell r="AA584" t="str">
            <v>г. Санкт-Петербург</v>
          </cell>
        </row>
        <row r="585">
          <cell r="AA585" t="str">
            <v>г. Санкт-Петербург</v>
          </cell>
        </row>
        <row r="586">
          <cell r="AA586" t="str">
            <v>г. Санкт-Петербург</v>
          </cell>
        </row>
        <row r="587">
          <cell r="AA587" t="str">
            <v>г. Санкт-Петербург</v>
          </cell>
        </row>
        <row r="588">
          <cell r="AA588" t="str">
            <v>г. Санкт-Петербург</v>
          </cell>
        </row>
        <row r="589">
          <cell r="AA589" t="str">
            <v>г. Санкт-Петербург</v>
          </cell>
        </row>
        <row r="590">
          <cell r="AA590" t="str">
            <v>г. Санкт-Петербург</v>
          </cell>
        </row>
        <row r="591">
          <cell r="AA591" t="str">
            <v>г. Санкт-Петербург</v>
          </cell>
        </row>
        <row r="592">
          <cell r="AA592" t="str">
            <v>г. Санкт-Петербург</v>
          </cell>
        </row>
        <row r="593">
          <cell r="AA593" t="str">
            <v>г. Санкт-Петербург</v>
          </cell>
        </row>
        <row r="594">
          <cell r="AA594" t="str">
            <v>г. Санкт-Петербург</v>
          </cell>
        </row>
        <row r="595">
          <cell r="AA595" t="str">
            <v>г. Санкт-Петербург</v>
          </cell>
        </row>
        <row r="596">
          <cell r="AA596" t="str">
            <v>г. Санкт-Петербург</v>
          </cell>
        </row>
        <row r="597">
          <cell r="AA597" t="str">
            <v>г. Санкт-Петербург</v>
          </cell>
        </row>
        <row r="598">
          <cell r="AA598" t="str">
            <v>г. Санкт-Петербург</v>
          </cell>
        </row>
        <row r="599">
          <cell r="AA599" t="str">
            <v>г. Санкт-Петербург</v>
          </cell>
        </row>
        <row r="600">
          <cell r="AA600" t="str">
            <v>г. Санкт-Петербург</v>
          </cell>
        </row>
        <row r="601">
          <cell r="AA601" t="str">
            <v>г. Санкт-Петербург</v>
          </cell>
        </row>
        <row r="602">
          <cell r="AA602" t="str">
            <v>г. Санкт-Петербург</v>
          </cell>
        </row>
        <row r="603">
          <cell r="AA603" t="str">
            <v>г. Санкт-Петербург</v>
          </cell>
        </row>
        <row r="604">
          <cell r="AA604" t="str">
            <v>г. Санкт-Петербург</v>
          </cell>
        </row>
        <row r="605">
          <cell r="AA605" t="str">
            <v>г. Санкт-Петербург</v>
          </cell>
        </row>
        <row r="606">
          <cell r="AA606" t="str">
            <v>г. Санкт-Петербург</v>
          </cell>
        </row>
        <row r="607">
          <cell r="AA607" t="str">
            <v>г. Санкт-Петербург</v>
          </cell>
        </row>
        <row r="608">
          <cell r="AA608" t="str">
            <v>г. Санкт-Петербург</v>
          </cell>
        </row>
        <row r="609">
          <cell r="AA609" t="str">
            <v>г. Санкт-Петербург</v>
          </cell>
        </row>
        <row r="610">
          <cell r="AA610" t="str">
            <v>г. Санкт-Петербург</v>
          </cell>
        </row>
        <row r="611">
          <cell r="AA611" t="str">
            <v>г. Санкт-Петербург</v>
          </cell>
        </row>
        <row r="612">
          <cell r="AA612" t="str">
            <v>г. Санкт-Петербург</v>
          </cell>
        </row>
        <row r="613">
          <cell r="AA613" t="str">
            <v>г. Санкт-Петербург</v>
          </cell>
        </row>
        <row r="614">
          <cell r="AA614" t="str">
            <v>г. Санкт-Петербург</v>
          </cell>
        </row>
        <row r="615">
          <cell r="AA615" t="str">
            <v>г. Санкт-Петербург</v>
          </cell>
        </row>
        <row r="616">
          <cell r="AA616" t="str">
            <v>г. Санкт-Петербург</v>
          </cell>
        </row>
        <row r="617">
          <cell r="AA617" t="str">
            <v>г. Санкт-Петербург</v>
          </cell>
        </row>
        <row r="618">
          <cell r="AA618" t="str">
            <v>г. Санкт-Петербург</v>
          </cell>
        </row>
        <row r="619">
          <cell r="AA619" t="str">
            <v>г. Санкт-Петербург</v>
          </cell>
        </row>
        <row r="620">
          <cell r="AA620" t="str">
            <v>г. Санкт-Петербург</v>
          </cell>
        </row>
        <row r="621">
          <cell r="AA621" t="str">
            <v>г. Санкт-Петербург</v>
          </cell>
        </row>
        <row r="622">
          <cell r="AA622" t="str">
            <v>г. Санкт-Петербург</v>
          </cell>
        </row>
        <row r="623">
          <cell r="AA623" t="str">
            <v>г. Санкт-Петербург</v>
          </cell>
        </row>
        <row r="624">
          <cell r="AA624" t="str">
            <v>г. Санкт-Петербург</v>
          </cell>
        </row>
        <row r="625">
          <cell r="AA625" t="str">
            <v>г. Санкт-Петербург</v>
          </cell>
        </row>
        <row r="626">
          <cell r="AA626" t="str">
            <v>г. Санкт-Петербург</v>
          </cell>
        </row>
        <row r="627">
          <cell r="AA627" t="str">
            <v>г. Санкт-Петербург</v>
          </cell>
        </row>
        <row r="628">
          <cell r="AA628" t="str">
            <v>г. Санкт-Петербург</v>
          </cell>
        </row>
        <row r="629">
          <cell r="AA629" t="str">
            <v>г. Санкт-Петербург</v>
          </cell>
        </row>
        <row r="630">
          <cell r="AA630" t="str">
            <v>г. Санкт-Петербург</v>
          </cell>
        </row>
        <row r="631">
          <cell r="AA631" t="str">
            <v>г. Санкт-Петербург</v>
          </cell>
        </row>
        <row r="632">
          <cell r="AA632" t="str">
            <v>г. Санкт-Петербург</v>
          </cell>
        </row>
        <row r="633">
          <cell r="AA633" t="str">
            <v>г. Санкт-Петербург</v>
          </cell>
        </row>
        <row r="634">
          <cell r="AA634" t="str">
            <v>г. Санкт-Петербург</v>
          </cell>
        </row>
        <row r="635">
          <cell r="AA635" t="str">
            <v>г. Санкт-Петербург</v>
          </cell>
        </row>
        <row r="636">
          <cell r="AA636" t="str">
            <v>г. Санкт-Петербург</v>
          </cell>
        </row>
        <row r="637">
          <cell r="AA637" t="str">
            <v>г. Санкт-Петербург</v>
          </cell>
        </row>
        <row r="638">
          <cell r="AA638" t="str">
            <v>г. Санкт-Петербург</v>
          </cell>
        </row>
        <row r="639">
          <cell r="AA639" t="str">
            <v>г. Санкт-Петербург</v>
          </cell>
        </row>
        <row r="640">
          <cell r="AA640" t="str">
            <v>г. Санкт-Петербург</v>
          </cell>
        </row>
        <row r="641">
          <cell r="AA641" t="str">
            <v>г. Санкт-Петербург</v>
          </cell>
        </row>
        <row r="642">
          <cell r="AA642" t="str">
            <v>г. Санкт-Петербург</v>
          </cell>
        </row>
        <row r="643">
          <cell r="AA643" t="str">
            <v>г. Санкт-Петербург</v>
          </cell>
        </row>
        <row r="644">
          <cell r="AA644" t="str">
            <v>г. Санкт-Петербург</v>
          </cell>
        </row>
        <row r="645">
          <cell r="AA645" t="str">
            <v>г. Санкт-Петербург</v>
          </cell>
        </row>
        <row r="646">
          <cell r="AA646" t="str">
            <v>г. Санкт-Петербург</v>
          </cell>
        </row>
        <row r="647">
          <cell r="AA647" t="str">
            <v>г. Санкт-Петербург</v>
          </cell>
        </row>
        <row r="648">
          <cell r="AA648" t="str">
            <v>г. Севастополь</v>
          </cell>
        </row>
        <row r="649">
          <cell r="AA649" t="str">
            <v>г. Севастополь</v>
          </cell>
        </row>
        <row r="650">
          <cell r="AA650" t="str">
            <v>г. Севастополь</v>
          </cell>
        </row>
        <row r="651">
          <cell r="AA651" t="str">
            <v>г. Севастополь</v>
          </cell>
        </row>
        <row r="652">
          <cell r="AA652" t="str">
            <v>г. Севастополь</v>
          </cell>
        </row>
        <row r="653">
          <cell r="AA653" t="str">
            <v>г. Севастополь</v>
          </cell>
        </row>
        <row r="654">
          <cell r="AA654" t="str">
            <v>г. Севастополь</v>
          </cell>
        </row>
        <row r="655">
          <cell r="AA655" t="str">
            <v>Еврейская автономная область</v>
          </cell>
        </row>
        <row r="656">
          <cell r="AA656" t="str">
            <v>Еврейская автономная область</v>
          </cell>
        </row>
        <row r="657">
          <cell r="AA657" t="str">
            <v>Еврейская автономная область</v>
          </cell>
        </row>
        <row r="658">
          <cell r="AA658" t="str">
            <v>Еврейская автономная область</v>
          </cell>
        </row>
        <row r="659">
          <cell r="AA659" t="str">
            <v>Еврейская автономная область</v>
          </cell>
        </row>
        <row r="660">
          <cell r="AA660" t="str">
            <v>Еврейская автономная область</v>
          </cell>
        </row>
        <row r="661">
          <cell r="AA661" t="str">
            <v>Еврейская автономная область</v>
          </cell>
        </row>
        <row r="662">
          <cell r="AA662" t="str">
            <v>Еврейская автономная область</v>
          </cell>
        </row>
        <row r="663">
          <cell r="AA663" t="str">
            <v>Еврейская автономная область</v>
          </cell>
        </row>
        <row r="664">
          <cell r="AA664" t="str">
            <v>Забайкальский край</v>
          </cell>
        </row>
        <row r="665">
          <cell r="AA665" t="str">
            <v>Забайкальский край</v>
          </cell>
        </row>
        <row r="666">
          <cell r="AA666" t="str">
            <v>Забайкальский край</v>
          </cell>
        </row>
        <row r="667">
          <cell r="AA667" t="str">
            <v>Забайкальский край</v>
          </cell>
        </row>
        <row r="668">
          <cell r="AA668" t="str">
            <v>Забайкальский край</v>
          </cell>
        </row>
        <row r="669">
          <cell r="AA669" t="str">
            <v>Забайкальский край</v>
          </cell>
        </row>
        <row r="670">
          <cell r="AA670" t="str">
            <v>Забайкальский край</v>
          </cell>
        </row>
        <row r="671">
          <cell r="AA671" t="str">
            <v>Забайкальский край</v>
          </cell>
        </row>
        <row r="672">
          <cell r="AA672" t="str">
            <v>Забайкальский край</v>
          </cell>
        </row>
        <row r="673">
          <cell r="AA673" t="str">
            <v>Забайкальский край</v>
          </cell>
        </row>
        <row r="674">
          <cell r="AA674" t="str">
            <v>Забайкальский край</v>
          </cell>
        </row>
        <row r="675">
          <cell r="AA675" t="str">
            <v>Забайкальский край</v>
          </cell>
        </row>
        <row r="676">
          <cell r="AA676" t="str">
            <v>Забайкальский край</v>
          </cell>
        </row>
        <row r="677">
          <cell r="AA677" t="str">
            <v>Забайкальский край</v>
          </cell>
        </row>
        <row r="678">
          <cell r="AA678" t="str">
            <v>Забайкальский край</v>
          </cell>
        </row>
        <row r="679">
          <cell r="AA679" t="str">
            <v>Забайкальский край</v>
          </cell>
        </row>
        <row r="680">
          <cell r="AA680" t="str">
            <v>Забайкальский край</v>
          </cell>
        </row>
        <row r="681">
          <cell r="AA681" t="str">
            <v>Забайкальский край</v>
          </cell>
        </row>
        <row r="682">
          <cell r="AA682" t="str">
            <v>Забайкальский край</v>
          </cell>
        </row>
        <row r="683">
          <cell r="AA683" t="str">
            <v>Забайкальский край</v>
          </cell>
        </row>
        <row r="684">
          <cell r="AA684" t="str">
            <v>Забайкальский край</v>
          </cell>
        </row>
        <row r="685">
          <cell r="AA685" t="str">
            <v>Забайкальский край</v>
          </cell>
        </row>
        <row r="686">
          <cell r="AA686" t="str">
            <v>Забайкальский край</v>
          </cell>
        </row>
        <row r="687">
          <cell r="AA687" t="str">
            <v>Забайкальский край</v>
          </cell>
        </row>
        <row r="688">
          <cell r="AA688" t="str">
            <v>Забайкальский край</v>
          </cell>
        </row>
        <row r="689">
          <cell r="AA689" t="str">
            <v>Забайкальский край</v>
          </cell>
        </row>
        <row r="690">
          <cell r="AA690" t="str">
            <v>Забайкальский край</v>
          </cell>
        </row>
        <row r="691">
          <cell r="AA691" t="str">
            <v>Забайкальский край</v>
          </cell>
        </row>
        <row r="692">
          <cell r="AA692" t="str">
            <v>Забайкальский край</v>
          </cell>
        </row>
        <row r="693">
          <cell r="AA693" t="str">
            <v>Забайкальский край</v>
          </cell>
        </row>
        <row r="694">
          <cell r="AA694" t="str">
            <v>Забайкальский край</v>
          </cell>
        </row>
        <row r="695">
          <cell r="AA695" t="str">
            <v>Забайкальский край</v>
          </cell>
        </row>
        <row r="696">
          <cell r="AA696" t="str">
            <v>Забайкальский край</v>
          </cell>
        </row>
        <row r="697">
          <cell r="AA697" t="str">
            <v>Забайкальский край</v>
          </cell>
        </row>
        <row r="698">
          <cell r="AA698" t="str">
            <v>Ивановская область</v>
          </cell>
        </row>
        <row r="699">
          <cell r="AA699" t="str">
            <v>Ивановская область</v>
          </cell>
        </row>
        <row r="700">
          <cell r="AA700" t="str">
            <v>Ивановская область</v>
          </cell>
        </row>
        <row r="701">
          <cell r="AA701" t="str">
            <v>Ивановская область</v>
          </cell>
        </row>
        <row r="702">
          <cell r="AA702" t="str">
            <v>Ивановская область</v>
          </cell>
        </row>
        <row r="703">
          <cell r="AA703" t="str">
            <v>Ивановская область</v>
          </cell>
        </row>
        <row r="704">
          <cell r="AA704" t="str">
            <v>Ивановская область</v>
          </cell>
        </row>
        <row r="705">
          <cell r="AA705" t="str">
            <v>Ивановская область</v>
          </cell>
        </row>
        <row r="706">
          <cell r="AA706" t="str">
            <v>Ивановская область</v>
          </cell>
        </row>
        <row r="707">
          <cell r="AA707" t="str">
            <v>Ивановская область</v>
          </cell>
        </row>
        <row r="708">
          <cell r="AA708" t="str">
            <v>Ивановская область</v>
          </cell>
        </row>
        <row r="709">
          <cell r="AA709" t="str">
            <v>Ивановская область</v>
          </cell>
        </row>
        <row r="710">
          <cell r="AA710" t="str">
            <v>Ивановская область</v>
          </cell>
        </row>
        <row r="711">
          <cell r="AA711" t="str">
            <v>Ивановская область</v>
          </cell>
        </row>
        <row r="712">
          <cell r="AA712" t="str">
            <v>Ивановская область</v>
          </cell>
        </row>
        <row r="713">
          <cell r="AA713" t="str">
            <v>Ивановская область</v>
          </cell>
        </row>
        <row r="714">
          <cell r="AA714" t="str">
            <v>Ивановская область</v>
          </cell>
        </row>
        <row r="715">
          <cell r="AA715" t="str">
            <v>Ивановская область</v>
          </cell>
        </row>
        <row r="716">
          <cell r="AA716" t="str">
            <v>Ивановская область</v>
          </cell>
        </row>
        <row r="717">
          <cell r="AA717" t="str">
            <v>Ивановская область</v>
          </cell>
        </row>
        <row r="718">
          <cell r="AA718" t="str">
            <v>Ивановская область</v>
          </cell>
        </row>
        <row r="719">
          <cell r="AA719" t="str">
            <v>Ивановская область</v>
          </cell>
        </row>
        <row r="720">
          <cell r="AA720" t="str">
            <v>Ивановская область</v>
          </cell>
        </row>
        <row r="721">
          <cell r="AA721" t="str">
            <v>Ивановская область</v>
          </cell>
        </row>
        <row r="722">
          <cell r="AA722" t="str">
            <v>Ивановская область</v>
          </cell>
        </row>
        <row r="723">
          <cell r="AA723" t="str">
            <v>Ивановская область</v>
          </cell>
        </row>
        <row r="724">
          <cell r="AA724" t="str">
            <v>Иркутская область</v>
          </cell>
        </row>
        <row r="725">
          <cell r="AA725" t="str">
            <v>Иркутская область</v>
          </cell>
        </row>
        <row r="726">
          <cell r="AA726" t="str">
            <v>Иркутская область</v>
          </cell>
        </row>
        <row r="727">
          <cell r="AA727" t="str">
            <v>Иркутская область</v>
          </cell>
        </row>
        <row r="728">
          <cell r="AA728" t="str">
            <v>Иркутская область</v>
          </cell>
        </row>
        <row r="729">
          <cell r="AA729" t="str">
            <v>Иркутская область</v>
          </cell>
        </row>
        <row r="730">
          <cell r="AA730" t="str">
            <v>Иркутская область</v>
          </cell>
        </row>
        <row r="731">
          <cell r="AA731" t="str">
            <v>Иркутская область</v>
          </cell>
        </row>
        <row r="732">
          <cell r="AA732" t="str">
            <v>Иркутская область</v>
          </cell>
        </row>
        <row r="733">
          <cell r="AA733" t="str">
            <v>Иркутская область</v>
          </cell>
        </row>
        <row r="734">
          <cell r="AA734" t="str">
            <v>Иркутская область</v>
          </cell>
        </row>
        <row r="735">
          <cell r="AA735" t="str">
            <v>Иркутская область</v>
          </cell>
        </row>
        <row r="736">
          <cell r="AA736" t="str">
            <v>Иркутская область</v>
          </cell>
        </row>
        <row r="737">
          <cell r="AA737" t="str">
            <v>Иркутская область</v>
          </cell>
        </row>
        <row r="738">
          <cell r="AA738" t="str">
            <v>Иркутская область</v>
          </cell>
        </row>
        <row r="739">
          <cell r="AA739" t="str">
            <v>Иркутская область</v>
          </cell>
        </row>
        <row r="740">
          <cell r="AA740" t="str">
            <v>Иркутская область</v>
          </cell>
        </row>
        <row r="741">
          <cell r="AA741" t="str">
            <v>Иркутская область</v>
          </cell>
        </row>
        <row r="742">
          <cell r="AA742" t="str">
            <v>Иркутская область</v>
          </cell>
        </row>
        <row r="743">
          <cell r="AA743" t="str">
            <v>Иркутская область</v>
          </cell>
        </row>
        <row r="744">
          <cell r="AA744" t="str">
            <v>Иркутская область</v>
          </cell>
        </row>
        <row r="745">
          <cell r="AA745" t="str">
            <v>Иркутская область</v>
          </cell>
        </row>
        <row r="746">
          <cell r="AA746" t="str">
            <v>Иркутская область</v>
          </cell>
        </row>
        <row r="747">
          <cell r="AA747" t="str">
            <v>Иркутская область</v>
          </cell>
        </row>
        <row r="748">
          <cell r="AA748" t="str">
            <v>Иркутская область</v>
          </cell>
        </row>
        <row r="749">
          <cell r="AA749" t="str">
            <v>Иркутская область</v>
          </cell>
        </row>
        <row r="750">
          <cell r="AA750" t="str">
            <v>Иркутская область</v>
          </cell>
        </row>
        <row r="751">
          <cell r="AA751" t="str">
            <v>Иркутская область</v>
          </cell>
        </row>
        <row r="752">
          <cell r="AA752" t="str">
            <v>Иркутская область</v>
          </cell>
        </row>
        <row r="753">
          <cell r="AA753" t="str">
            <v>Иркутская область</v>
          </cell>
        </row>
        <row r="754">
          <cell r="AA754" t="str">
            <v>Иркутская область</v>
          </cell>
        </row>
        <row r="755">
          <cell r="AA755" t="str">
            <v>Иркутская область</v>
          </cell>
        </row>
        <row r="756">
          <cell r="AA756" t="str">
            <v>Иркутская область</v>
          </cell>
        </row>
        <row r="757">
          <cell r="AA757" t="str">
            <v>Иркутская область</v>
          </cell>
        </row>
        <row r="758">
          <cell r="AA758" t="str">
            <v>Иркутская область</v>
          </cell>
        </row>
        <row r="759">
          <cell r="AA759" t="str">
            <v>Иркутская область</v>
          </cell>
        </row>
        <row r="760">
          <cell r="AA760" t="str">
            <v>Иркутская область</v>
          </cell>
        </row>
        <row r="761">
          <cell r="AA761" t="str">
            <v>Иркутская область</v>
          </cell>
        </row>
        <row r="762">
          <cell r="AA762" t="str">
            <v>Иркутская область</v>
          </cell>
        </row>
        <row r="763">
          <cell r="AA763" t="str">
            <v>Иркутская область</v>
          </cell>
        </row>
        <row r="764">
          <cell r="AA764" t="str">
            <v>Иркутская область</v>
          </cell>
        </row>
        <row r="765">
          <cell r="AA765" t="str">
            <v>Иркутская область</v>
          </cell>
        </row>
        <row r="766">
          <cell r="AA766" t="str">
            <v>Иркутская область</v>
          </cell>
        </row>
        <row r="767">
          <cell r="AA767" t="str">
            <v>Иркутская область</v>
          </cell>
        </row>
        <row r="768">
          <cell r="AA768" t="str">
            <v>Иркутская область</v>
          </cell>
        </row>
        <row r="769">
          <cell r="AA769" t="str">
            <v>Иркутская область</v>
          </cell>
        </row>
        <row r="770">
          <cell r="AA770" t="str">
            <v>Иркутская область</v>
          </cell>
        </row>
        <row r="771">
          <cell r="AA771" t="str">
            <v>Иркутская область</v>
          </cell>
        </row>
        <row r="772">
          <cell r="AA772" t="str">
            <v>Иркутская область</v>
          </cell>
        </row>
        <row r="773">
          <cell r="AA773" t="str">
            <v>Иркутская область</v>
          </cell>
        </row>
        <row r="774">
          <cell r="AA774" t="str">
            <v>Иркутская область</v>
          </cell>
        </row>
        <row r="775">
          <cell r="AA775" t="str">
            <v>Иркутская область</v>
          </cell>
        </row>
        <row r="776">
          <cell r="AA776" t="str">
            <v>Иркутская область</v>
          </cell>
        </row>
        <row r="777">
          <cell r="AA777" t="str">
            <v>Иркутская область</v>
          </cell>
        </row>
        <row r="778">
          <cell r="AA778" t="str">
            <v>Иркутская область</v>
          </cell>
        </row>
        <row r="779">
          <cell r="AA779" t="str">
            <v>Иркутская область</v>
          </cell>
        </row>
        <row r="780">
          <cell r="AA780" t="str">
            <v>Иркутская область</v>
          </cell>
        </row>
        <row r="781">
          <cell r="AA781" t="str">
            <v>Иркутская область</v>
          </cell>
        </row>
        <row r="782">
          <cell r="AA782" t="str">
            <v>Иркутская область</v>
          </cell>
        </row>
        <row r="783">
          <cell r="AA783" t="str">
            <v>Иркутская область</v>
          </cell>
        </row>
        <row r="784">
          <cell r="AA784" t="str">
            <v>Иркутская область</v>
          </cell>
        </row>
        <row r="785">
          <cell r="AA785" t="str">
            <v>Иркутская область</v>
          </cell>
        </row>
        <row r="786">
          <cell r="AA786" t="str">
            <v>Иркутская область</v>
          </cell>
        </row>
        <row r="787">
          <cell r="AA787" t="str">
            <v>Иркутская область</v>
          </cell>
        </row>
        <row r="788">
          <cell r="AA788" t="str">
            <v>Иркутская область</v>
          </cell>
        </row>
        <row r="789">
          <cell r="AA789" t="str">
            <v>Кабардино-Балкарская Республика</v>
          </cell>
        </row>
        <row r="790">
          <cell r="AA790" t="str">
            <v>Кабардино-Балкарская Республика</v>
          </cell>
        </row>
        <row r="791">
          <cell r="AA791" t="str">
            <v>Кабардино-Балкарская Республика</v>
          </cell>
        </row>
        <row r="792">
          <cell r="AA792" t="str">
            <v>Кабардино-Балкарская Республика</v>
          </cell>
        </row>
        <row r="793">
          <cell r="AA793" t="str">
            <v>Кабардино-Балкарская Республика</v>
          </cell>
        </row>
        <row r="794">
          <cell r="AA794" t="str">
            <v>Кабардино-Балкарская Республика</v>
          </cell>
        </row>
        <row r="795">
          <cell r="AA795" t="str">
            <v>Кабардино-Балкарская Республика</v>
          </cell>
        </row>
        <row r="796">
          <cell r="AA796" t="str">
            <v>Кабардино-Балкарская Республика</v>
          </cell>
        </row>
        <row r="797">
          <cell r="AA797" t="str">
            <v>Кабардино-Балкарская Республика</v>
          </cell>
        </row>
        <row r="798">
          <cell r="AA798" t="str">
            <v>Кабардино-Балкарская Республика</v>
          </cell>
        </row>
        <row r="799">
          <cell r="AA799" t="str">
            <v>Кабардино-Балкарская Республика</v>
          </cell>
        </row>
        <row r="800">
          <cell r="AA800" t="str">
            <v>Кабардино-Балкарская Республика</v>
          </cell>
        </row>
        <row r="801">
          <cell r="AA801" t="str">
            <v>Кабардино-Балкарская Республика</v>
          </cell>
        </row>
        <row r="802">
          <cell r="AA802" t="str">
            <v>Кабардино-Балкарская Республика</v>
          </cell>
        </row>
        <row r="803">
          <cell r="AA803" t="str">
            <v>Кабардино-Балкарская Республика</v>
          </cell>
        </row>
        <row r="804">
          <cell r="AA804" t="str">
            <v>Кабардино-Балкарская Республика</v>
          </cell>
        </row>
        <row r="805">
          <cell r="AA805" t="str">
            <v>Кабардино-Балкарская Республика</v>
          </cell>
        </row>
        <row r="806">
          <cell r="AA806" t="str">
            <v>Калининградская область</v>
          </cell>
        </row>
        <row r="807">
          <cell r="AA807" t="str">
            <v>Калининградская область</v>
          </cell>
        </row>
        <row r="808">
          <cell r="AA808" t="str">
            <v>Калининградская область</v>
          </cell>
        </row>
        <row r="809">
          <cell r="AA809" t="str">
            <v>Калининградская область</v>
          </cell>
        </row>
        <row r="810">
          <cell r="AA810" t="str">
            <v>Калининградская область</v>
          </cell>
        </row>
        <row r="811">
          <cell r="AA811" t="str">
            <v>Калининградская область</v>
          </cell>
        </row>
        <row r="812">
          <cell r="AA812" t="str">
            <v>Калининградская область</v>
          </cell>
        </row>
        <row r="813">
          <cell r="AA813" t="str">
            <v>Калининградская область</v>
          </cell>
        </row>
        <row r="814">
          <cell r="AA814" t="str">
            <v>Калининградская область</v>
          </cell>
        </row>
        <row r="815">
          <cell r="AA815" t="str">
            <v>Калининградская область</v>
          </cell>
        </row>
        <row r="816">
          <cell r="AA816" t="str">
            <v>Калининградская область</v>
          </cell>
        </row>
        <row r="817">
          <cell r="AA817" t="str">
            <v>Калининградская область</v>
          </cell>
        </row>
        <row r="818">
          <cell r="AA818" t="str">
            <v>Калининградская область</v>
          </cell>
        </row>
        <row r="819">
          <cell r="AA819" t="str">
            <v>Калининградская область</v>
          </cell>
        </row>
        <row r="820">
          <cell r="AA820" t="str">
            <v>Калининградская область</v>
          </cell>
        </row>
        <row r="821">
          <cell r="AA821" t="str">
            <v>Калининградская область</v>
          </cell>
        </row>
        <row r="822">
          <cell r="AA822" t="str">
            <v>Калининградская область</v>
          </cell>
        </row>
        <row r="823">
          <cell r="AA823" t="str">
            <v>Калининградская область</v>
          </cell>
        </row>
        <row r="824">
          <cell r="AA824" t="str">
            <v>Калининградская область</v>
          </cell>
        </row>
        <row r="825">
          <cell r="AA825" t="str">
            <v>Калининградская область</v>
          </cell>
        </row>
        <row r="826">
          <cell r="AA826" t="str">
            <v>Калининградская область</v>
          </cell>
        </row>
        <row r="827">
          <cell r="AA827" t="str">
            <v>Калининградская область</v>
          </cell>
        </row>
        <row r="828">
          <cell r="AA828" t="str">
            <v>Калининградская область</v>
          </cell>
        </row>
        <row r="829">
          <cell r="AA829" t="str">
            <v>Калининградская область</v>
          </cell>
        </row>
        <row r="830">
          <cell r="AA830" t="str">
            <v>Калининградская область</v>
          </cell>
        </row>
        <row r="831">
          <cell r="AA831" t="str">
            <v>Калининградская область</v>
          </cell>
        </row>
        <row r="832">
          <cell r="AA832" t="str">
            <v>Калининградская область</v>
          </cell>
        </row>
        <row r="833">
          <cell r="AA833" t="str">
            <v>Калининградская область</v>
          </cell>
        </row>
        <row r="834">
          <cell r="AA834" t="str">
            <v>Калининградская область</v>
          </cell>
        </row>
        <row r="835">
          <cell r="AA835" t="str">
            <v>Калининградская область</v>
          </cell>
        </row>
        <row r="836">
          <cell r="AA836" t="str">
            <v>Калининградская область</v>
          </cell>
        </row>
        <row r="837">
          <cell r="AA837" t="str">
            <v>Калининградская область</v>
          </cell>
        </row>
        <row r="838">
          <cell r="AA838" t="str">
            <v>Калининградская область</v>
          </cell>
        </row>
        <row r="839">
          <cell r="AA839" t="str">
            <v>Калужская область</v>
          </cell>
        </row>
        <row r="840">
          <cell r="AA840" t="str">
            <v>Калужская область</v>
          </cell>
        </row>
        <row r="841">
          <cell r="AA841" t="str">
            <v>Калужская область</v>
          </cell>
        </row>
        <row r="842">
          <cell r="AA842" t="str">
            <v>Калужская область</v>
          </cell>
        </row>
        <row r="843">
          <cell r="AA843" t="str">
            <v>Калужская область</v>
          </cell>
        </row>
        <row r="844">
          <cell r="AA844" t="str">
            <v>Калужская область</v>
          </cell>
        </row>
        <row r="845">
          <cell r="AA845" t="str">
            <v>Калужская область</v>
          </cell>
        </row>
        <row r="846">
          <cell r="AA846" t="str">
            <v>Калужская область</v>
          </cell>
        </row>
        <row r="847">
          <cell r="AA847" t="str">
            <v>Калужская область</v>
          </cell>
        </row>
        <row r="848">
          <cell r="AA848" t="str">
            <v>Калужская область</v>
          </cell>
        </row>
        <row r="849">
          <cell r="AA849" t="str">
            <v>Калужская область</v>
          </cell>
        </row>
        <row r="850">
          <cell r="AA850" t="str">
            <v>Калужская область</v>
          </cell>
        </row>
        <row r="851">
          <cell r="AA851" t="str">
            <v>Калужская область</v>
          </cell>
        </row>
        <row r="852">
          <cell r="AA852" t="str">
            <v>Калужская область</v>
          </cell>
        </row>
        <row r="853">
          <cell r="AA853" t="str">
            <v>Калужская область</v>
          </cell>
        </row>
        <row r="854">
          <cell r="AA854" t="str">
            <v>Калужская область</v>
          </cell>
        </row>
        <row r="855">
          <cell r="AA855" t="str">
            <v>Калужская область</v>
          </cell>
        </row>
        <row r="856">
          <cell r="AA856" t="str">
            <v>Калужская область</v>
          </cell>
        </row>
        <row r="857">
          <cell r="AA857" t="str">
            <v>Калужская область</v>
          </cell>
        </row>
        <row r="858">
          <cell r="AA858" t="str">
            <v>Калужская область</v>
          </cell>
        </row>
        <row r="859">
          <cell r="AA859" t="str">
            <v>Калужская область</v>
          </cell>
        </row>
        <row r="860">
          <cell r="AA860" t="str">
            <v>Калужская область</v>
          </cell>
        </row>
        <row r="861">
          <cell r="AA861" t="str">
            <v>Калужская область</v>
          </cell>
        </row>
        <row r="862">
          <cell r="AA862" t="str">
            <v>Калужская область</v>
          </cell>
        </row>
        <row r="863">
          <cell r="AA863" t="str">
            <v>Калужская область</v>
          </cell>
        </row>
        <row r="864">
          <cell r="AA864" t="str">
            <v>Калужская область</v>
          </cell>
        </row>
        <row r="865">
          <cell r="AA865" t="str">
            <v>Калужская область</v>
          </cell>
        </row>
        <row r="866">
          <cell r="AA866" t="str">
            <v>Калужская область</v>
          </cell>
        </row>
        <row r="867">
          <cell r="AA867" t="str">
            <v>Калужская область</v>
          </cell>
        </row>
        <row r="868">
          <cell r="AA868" t="str">
            <v>Камчатский край</v>
          </cell>
        </row>
        <row r="869">
          <cell r="AA869" t="str">
            <v>Камчатский край</v>
          </cell>
        </row>
        <row r="870">
          <cell r="AA870" t="str">
            <v>Камчатский край</v>
          </cell>
        </row>
        <row r="871">
          <cell r="AA871" t="str">
            <v>Камчатский край</v>
          </cell>
        </row>
        <row r="872">
          <cell r="AA872" t="str">
            <v>Камчатский край</v>
          </cell>
        </row>
        <row r="873">
          <cell r="AA873" t="str">
            <v>Камчатский край</v>
          </cell>
        </row>
        <row r="874">
          <cell r="AA874" t="str">
            <v>Камчатский край</v>
          </cell>
        </row>
        <row r="875">
          <cell r="AA875" t="str">
            <v>Камчатский край</v>
          </cell>
        </row>
        <row r="876">
          <cell r="AA876" t="str">
            <v>Камчатский край</v>
          </cell>
        </row>
        <row r="877">
          <cell r="AA877" t="str">
            <v>Камчатский край</v>
          </cell>
        </row>
        <row r="878">
          <cell r="AA878" t="str">
            <v>Камчатский край</v>
          </cell>
        </row>
        <row r="879">
          <cell r="AA879" t="str">
            <v>Камчатский край</v>
          </cell>
        </row>
        <row r="880">
          <cell r="AA880" t="str">
            <v>Камчатский край</v>
          </cell>
        </row>
        <row r="881">
          <cell r="AA881" t="str">
            <v>Камчатский край</v>
          </cell>
        </row>
        <row r="882">
          <cell r="AA882" t="str">
            <v>Камчатский край</v>
          </cell>
        </row>
        <row r="883">
          <cell r="AA883" t="str">
            <v>Камчатский край</v>
          </cell>
        </row>
        <row r="884">
          <cell r="AA884" t="str">
            <v>Камчатский край</v>
          </cell>
        </row>
        <row r="885">
          <cell r="AA885" t="str">
            <v>Камчатский край</v>
          </cell>
        </row>
        <row r="886">
          <cell r="AA886" t="str">
            <v>Камчатский край</v>
          </cell>
        </row>
        <row r="887">
          <cell r="AA887" t="str">
            <v>Камчатский край</v>
          </cell>
        </row>
        <row r="888">
          <cell r="AA888" t="str">
            <v>Камчатский край</v>
          </cell>
        </row>
        <row r="889">
          <cell r="AA889" t="str">
            <v>Камчатский край</v>
          </cell>
        </row>
        <row r="890">
          <cell r="AA890" t="str">
            <v>Камчатский край</v>
          </cell>
        </row>
        <row r="891">
          <cell r="AA891" t="str">
            <v>Карачаево-Черкесская Республика</v>
          </cell>
        </row>
        <row r="892">
          <cell r="AA892" t="str">
            <v>Карачаево-Черкесская Республика</v>
          </cell>
        </row>
        <row r="893">
          <cell r="AA893" t="str">
            <v>Карачаево-Черкесская Республика</v>
          </cell>
        </row>
        <row r="894">
          <cell r="AA894" t="str">
            <v>Карачаево-Черкесская Республика</v>
          </cell>
        </row>
        <row r="895">
          <cell r="AA895" t="str">
            <v>Карачаево-Черкесская Республика</v>
          </cell>
        </row>
        <row r="896">
          <cell r="AA896" t="str">
            <v>Карачаево-Черкесская Республика</v>
          </cell>
        </row>
        <row r="897">
          <cell r="AA897" t="str">
            <v>Карачаево-Черкесская Республика</v>
          </cell>
        </row>
        <row r="898">
          <cell r="AA898" t="str">
            <v>Карачаево-Черкесская Республика</v>
          </cell>
        </row>
        <row r="899">
          <cell r="AA899" t="str">
            <v>Карачаево-Черкесская Республика</v>
          </cell>
        </row>
        <row r="900">
          <cell r="AA900" t="str">
            <v>Карачаево-Черкесская Республика</v>
          </cell>
        </row>
        <row r="901">
          <cell r="AA901" t="str">
            <v>Карачаево-Черкесская Республика</v>
          </cell>
        </row>
        <row r="902">
          <cell r="AA902" t="str">
            <v>Карачаево-Черкесская Республика</v>
          </cell>
        </row>
        <row r="903">
          <cell r="AA903" t="str">
            <v>Карачаево-Черкесская Республика</v>
          </cell>
        </row>
        <row r="904">
          <cell r="AA904" t="str">
            <v>Карачаево-Черкесская Республика</v>
          </cell>
        </row>
        <row r="905">
          <cell r="AA905" t="str">
            <v>Карачаево-Черкесская Республика</v>
          </cell>
        </row>
        <row r="906">
          <cell r="AA906" t="str">
            <v>Кемеровская область</v>
          </cell>
        </row>
        <row r="907">
          <cell r="AA907" t="str">
            <v>Кемеровская область</v>
          </cell>
        </row>
        <row r="908">
          <cell r="AA908" t="str">
            <v>Кемеровская область</v>
          </cell>
        </row>
        <row r="909">
          <cell r="AA909" t="str">
            <v>Кемеровская область</v>
          </cell>
        </row>
        <row r="910">
          <cell r="AA910" t="str">
            <v>Кемеровская область</v>
          </cell>
        </row>
        <row r="911">
          <cell r="AA911" t="str">
            <v>Кемеровская область</v>
          </cell>
        </row>
        <row r="912">
          <cell r="AA912" t="str">
            <v>Кемеровская область</v>
          </cell>
        </row>
        <row r="913">
          <cell r="AA913" t="str">
            <v>Кемеровская область</v>
          </cell>
        </row>
        <row r="914">
          <cell r="AA914" t="str">
            <v>Кемеровская область</v>
          </cell>
        </row>
        <row r="915">
          <cell r="AA915" t="str">
            <v>Кемеровская область</v>
          </cell>
        </row>
        <row r="916">
          <cell r="AA916" t="str">
            <v>Кемеровская область</v>
          </cell>
        </row>
        <row r="917">
          <cell r="AA917" t="str">
            <v>Кемеровская область</v>
          </cell>
        </row>
        <row r="918">
          <cell r="AA918" t="str">
            <v>Кемеровская область</v>
          </cell>
        </row>
        <row r="919">
          <cell r="AA919" t="str">
            <v>Кемеровская область</v>
          </cell>
        </row>
        <row r="920">
          <cell r="AA920" t="str">
            <v>Кемеровская область</v>
          </cell>
        </row>
        <row r="921">
          <cell r="AA921" t="str">
            <v>Кемеровская область</v>
          </cell>
        </row>
        <row r="922">
          <cell r="AA922" t="str">
            <v>Кемеровская область</v>
          </cell>
        </row>
        <row r="923">
          <cell r="AA923" t="str">
            <v>Кемеровская область</v>
          </cell>
        </row>
        <row r="924">
          <cell r="AA924" t="str">
            <v>Кемеровская область</v>
          </cell>
        </row>
        <row r="925">
          <cell r="AA925" t="str">
            <v>Кемеровская область</v>
          </cell>
        </row>
        <row r="926">
          <cell r="AA926" t="str">
            <v>Кемеровская область</v>
          </cell>
        </row>
        <row r="927">
          <cell r="AA927" t="str">
            <v>Кемеровская область</v>
          </cell>
        </row>
        <row r="928">
          <cell r="AA928" t="str">
            <v>Кемеровская область</v>
          </cell>
        </row>
        <row r="929">
          <cell r="AA929" t="str">
            <v>Кемеровская область</v>
          </cell>
        </row>
        <row r="930">
          <cell r="AA930" t="str">
            <v>Кемеровская область</v>
          </cell>
        </row>
        <row r="931">
          <cell r="AA931" t="str">
            <v>Кемеровская область</v>
          </cell>
        </row>
        <row r="932">
          <cell r="AA932" t="str">
            <v>Кемеровская область</v>
          </cell>
        </row>
        <row r="933">
          <cell r="AA933" t="str">
            <v>Кемеровская область</v>
          </cell>
        </row>
        <row r="934">
          <cell r="AA934" t="str">
            <v>Кемеровская область</v>
          </cell>
        </row>
        <row r="935">
          <cell r="AA935" t="str">
            <v>Кемеровская область</v>
          </cell>
        </row>
        <row r="936">
          <cell r="AA936" t="str">
            <v>Кемеровская область</v>
          </cell>
        </row>
        <row r="937">
          <cell r="AA937" t="str">
            <v>Кемеровская область</v>
          </cell>
        </row>
        <row r="938">
          <cell r="AA938" t="str">
            <v>Кемеровская область</v>
          </cell>
        </row>
        <row r="939">
          <cell r="AA939" t="str">
            <v>Кемеровская область</v>
          </cell>
        </row>
        <row r="940">
          <cell r="AA940" t="str">
            <v>Кемеровская область</v>
          </cell>
        </row>
        <row r="941">
          <cell r="AA941" t="str">
            <v>Кемеровская область</v>
          </cell>
        </row>
        <row r="942">
          <cell r="AA942" t="str">
            <v>Кемеровская область</v>
          </cell>
        </row>
        <row r="943">
          <cell r="AA943" t="str">
            <v>Кемеровская область</v>
          </cell>
        </row>
        <row r="944">
          <cell r="AA944" t="str">
            <v>Кемеровская область</v>
          </cell>
        </row>
        <row r="945">
          <cell r="AA945" t="str">
            <v>Кемеровская область</v>
          </cell>
        </row>
        <row r="946">
          <cell r="AA946" t="str">
            <v>Кемеровская область</v>
          </cell>
        </row>
        <row r="947">
          <cell r="AA947" t="str">
            <v>Кемеровская область</v>
          </cell>
        </row>
        <row r="948">
          <cell r="AA948" t="str">
            <v>Кемеровская область</v>
          </cell>
        </row>
        <row r="949">
          <cell r="AA949" t="str">
            <v>Кемеровская область</v>
          </cell>
        </row>
        <row r="950">
          <cell r="AA950" t="str">
            <v>Кемеровская область</v>
          </cell>
        </row>
        <row r="951">
          <cell r="AA951" t="str">
            <v>Кемеровская область</v>
          </cell>
        </row>
        <row r="952">
          <cell r="AA952" t="str">
            <v>Кемеровская область</v>
          </cell>
        </row>
        <row r="953">
          <cell r="AA953" t="str">
            <v>Кемеровская область</v>
          </cell>
        </row>
        <row r="954">
          <cell r="AA954" t="str">
            <v>Кемеровская область</v>
          </cell>
        </row>
        <row r="955">
          <cell r="AA955" t="str">
            <v>Кемеровская область</v>
          </cell>
        </row>
        <row r="956">
          <cell r="AA956" t="str">
            <v>Кемеровская область</v>
          </cell>
        </row>
        <row r="957">
          <cell r="AA957" t="str">
            <v>Кемеровская область</v>
          </cell>
        </row>
        <row r="958">
          <cell r="AA958" t="str">
            <v>Кемеровская область</v>
          </cell>
        </row>
        <row r="959">
          <cell r="AA959" t="str">
            <v>Кемеровская область</v>
          </cell>
        </row>
        <row r="960">
          <cell r="AA960" t="str">
            <v>Кемеровская область</v>
          </cell>
        </row>
        <row r="961">
          <cell r="AA961" t="str">
            <v>Кемеровская область</v>
          </cell>
        </row>
        <row r="962">
          <cell r="AA962" t="str">
            <v>Кемеровская область</v>
          </cell>
        </row>
        <row r="963">
          <cell r="AA963" t="str">
            <v>Кемеровская область</v>
          </cell>
        </row>
        <row r="964">
          <cell r="AA964" t="str">
            <v>Кемеровская область</v>
          </cell>
        </row>
        <row r="965">
          <cell r="AA965" t="str">
            <v>Кемеровская область</v>
          </cell>
        </row>
        <row r="966">
          <cell r="AA966" t="str">
            <v>Кемеровская область</v>
          </cell>
        </row>
        <row r="967">
          <cell r="AA967" t="str">
            <v>Кемеровская область</v>
          </cell>
        </row>
        <row r="968">
          <cell r="AA968" t="str">
            <v>Кемеровская область</v>
          </cell>
        </row>
        <row r="969">
          <cell r="AA969" t="str">
            <v>Кемеровская область</v>
          </cell>
        </row>
        <row r="970">
          <cell r="AA970" t="str">
            <v>Кемеровская область</v>
          </cell>
        </row>
        <row r="971">
          <cell r="AA971" t="str">
            <v>Кемеровская область</v>
          </cell>
        </row>
        <row r="972">
          <cell r="AA972" t="str">
            <v>Кемеровская область</v>
          </cell>
        </row>
        <row r="973">
          <cell r="AA973" t="str">
            <v>Кемеровская область</v>
          </cell>
        </row>
        <row r="974">
          <cell r="AA974" t="str">
            <v>Кемеровская область</v>
          </cell>
        </row>
        <row r="975">
          <cell r="AA975" t="str">
            <v>Кемеровская область</v>
          </cell>
        </row>
        <row r="976">
          <cell r="AA976" t="str">
            <v>Кировская область</v>
          </cell>
        </row>
        <row r="977">
          <cell r="AA977" t="str">
            <v>Кировская область</v>
          </cell>
        </row>
        <row r="978">
          <cell r="AA978" t="str">
            <v>Кировская область</v>
          </cell>
        </row>
        <row r="979">
          <cell r="AA979" t="str">
            <v>Кировская область</v>
          </cell>
        </row>
        <row r="980">
          <cell r="AA980" t="str">
            <v>Кировская область</v>
          </cell>
        </row>
        <row r="981">
          <cell r="AA981" t="str">
            <v>Кировская область</v>
          </cell>
        </row>
        <row r="982">
          <cell r="AA982" t="str">
            <v>Кировская область</v>
          </cell>
        </row>
        <row r="983">
          <cell r="AA983" t="str">
            <v>Кировская область</v>
          </cell>
        </row>
        <row r="984">
          <cell r="AA984" t="str">
            <v>Кировская область</v>
          </cell>
        </row>
        <row r="985">
          <cell r="AA985" t="str">
            <v>Кировская область</v>
          </cell>
        </row>
        <row r="986">
          <cell r="AA986" t="str">
            <v>Кировская область</v>
          </cell>
        </row>
        <row r="987">
          <cell r="AA987" t="str">
            <v>Кировская область</v>
          </cell>
        </row>
        <row r="988">
          <cell r="AA988" t="str">
            <v>Кировская область</v>
          </cell>
        </row>
        <row r="989">
          <cell r="AA989" t="str">
            <v>Кировская область</v>
          </cell>
        </row>
        <row r="990">
          <cell r="AA990" t="str">
            <v>Кировская область</v>
          </cell>
        </row>
        <row r="991">
          <cell r="AA991" t="str">
            <v>Кировская область</v>
          </cell>
        </row>
        <row r="992">
          <cell r="AA992" t="str">
            <v>Кировская область</v>
          </cell>
        </row>
        <row r="993">
          <cell r="AA993" t="str">
            <v>Кировская область</v>
          </cell>
        </row>
        <row r="994">
          <cell r="AA994" t="str">
            <v>Кировская область</v>
          </cell>
        </row>
        <row r="995">
          <cell r="AA995" t="str">
            <v>Кировская область</v>
          </cell>
        </row>
        <row r="996">
          <cell r="AA996" t="str">
            <v>Кировская область</v>
          </cell>
        </row>
        <row r="997">
          <cell r="AA997" t="str">
            <v>Кировская область</v>
          </cell>
        </row>
        <row r="998">
          <cell r="AA998" t="str">
            <v>Кировская область</v>
          </cell>
        </row>
        <row r="999">
          <cell r="AA999" t="str">
            <v>Кировская область</v>
          </cell>
        </row>
        <row r="1000">
          <cell r="AA1000" t="str">
            <v>Кировская область</v>
          </cell>
        </row>
        <row r="1001">
          <cell r="AA1001" t="str">
            <v>Кировская область</v>
          </cell>
        </row>
        <row r="1002">
          <cell r="AA1002" t="str">
            <v>Кировская область</v>
          </cell>
        </row>
        <row r="1003">
          <cell r="AA1003" t="str">
            <v>Кировская область</v>
          </cell>
        </row>
        <row r="1004">
          <cell r="AA1004" t="str">
            <v>Кировская область</v>
          </cell>
        </row>
        <row r="1005">
          <cell r="AA1005" t="str">
            <v>Кировская область</v>
          </cell>
        </row>
        <row r="1006">
          <cell r="AA1006" t="str">
            <v>Кировская область</v>
          </cell>
        </row>
        <row r="1007">
          <cell r="AA1007" t="str">
            <v>Кировская область</v>
          </cell>
        </row>
        <row r="1008">
          <cell r="AA1008" t="str">
            <v>Кировская область</v>
          </cell>
        </row>
        <row r="1009">
          <cell r="AA1009" t="str">
            <v>Кировская область</v>
          </cell>
        </row>
        <row r="1010">
          <cell r="AA1010" t="str">
            <v>Кировская область</v>
          </cell>
        </row>
        <row r="1011">
          <cell r="AA1011" t="str">
            <v>Кировская область</v>
          </cell>
        </row>
        <row r="1012">
          <cell r="AA1012" t="str">
            <v>Кировская область</v>
          </cell>
        </row>
        <row r="1013">
          <cell r="AA1013" t="str">
            <v>Кировская область</v>
          </cell>
        </row>
        <row r="1014">
          <cell r="AA1014" t="str">
            <v>Кировская область</v>
          </cell>
        </row>
        <row r="1015">
          <cell r="AA1015" t="str">
            <v>Кировская область</v>
          </cell>
        </row>
        <row r="1016">
          <cell r="AA1016" t="str">
            <v>Кировская область</v>
          </cell>
        </row>
        <row r="1017">
          <cell r="AA1017" t="str">
            <v>Кировская область</v>
          </cell>
        </row>
        <row r="1018">
          <cell r="AA1018" t="str">
            <v>Кировская область</v>
          </cell>
        </row>
        <row r="1019">
          <cell r="AA1019" t="str">
            <v>Кировская область</v>
          </cell>
        </row>
        <row r="1020">
          <cell r="AA1020" t="str">
            <v>Кировская область</v>
          </cell>
        </row>
        <row r="1021">
          <cell r="AA1021" t="str">
            <v>Кировская область</v>
          </cell>
        </row>
        <row r="1022">
          <cell r="AA1022" t="str">
            <v>Костромская область</v>
          </cell>
        </row>
        <row r="1023">
          <cell r="AA1023" t="str">
            <v>Костромская область</v>
          </cell>
        </row>
        <row r="1024">
          <cell r="AA1024" t="str">
            <v>Костромская область</v>
          </cell>
        </row>
        <row r="1025">
          <cell r="AA1025" t="str">
            <v>Костромская область</v>
          </cell>
        </row>
        <row r="1026">
          <cell r="AA1026" t="str">
            <v>Костромская область</v>
          </cell>
        </row>
        <row r="1027">
          <cell r="AA1027" t="str">
            <v>Костромская область</v>
          </cell>
        </row>
        <row r="1028">
          <cell r="AA1028" t="str">
            <v>Костромская область</v>
          </cell>
        </row>
        <row r="1029">
          <cell r="AA1029" t="str">
            <v>Костромская область</v>
          </cell>
        </row>
        <row r="1030">
          <cell r="AA1030" t="str">
            <v>Костромская область</v>
          </cell>
        </row>
        <row r="1031">
          <cell r="AA1031" t="str">
            <v>Костромская область</v>
          </cell>
        </row>
        <row r="1032">
          <cell r="AA1032" t="str">
            <v>Костромская область</v>
          </cell>
        </row>
        <row r="1033">
          <cell r="AA1033" t="str">
            <v>Костромская область</v>
          </cell>
        </row>
        <row r="1034">
          <cell r="AA1034" t="str">
            <v>Костромская область</v>
          </cell>
        </row>
        <row r="1035">
          <cell r="AA1035" t="str">
            <v>Костромская область</v>
          </cell>
        </row>
        <row r="1036">
          <cell r="AA1036" t="str">
            <v>Костромская область</v>
          </cell>
        </row>
        <row r="1037">
          <cell r="AA1037" t="str">
            <v>Костромская область</v>
          </cell>
        </row>
        <row r="1038">
          <cell r="AA1038" t="str">
            <v>Костромская область</v>
          </cell>
        </row>
        <row r="1039">
          <cell r="AA1039" t="str">
            <v>Костромская область</v>
          </cell>
        </row>
        <row r="1040">
          <cell r="AA1040" t="str">
            <v>Костромская область</v>
          </cell>
        </row>
        <row r="1041">
          <cell r="AA1041" t="str">
            <v>Костромская область</v>
          </cell>
        </row>
        <row r="1042">
          <cell r="AA1042" t="str">
            <v>Костромская область</v>
          </cell>
        </row>
        <row r="1043">
          <cell r="AA1043" t="str">
            <v>Костромская область</v>
          </cell>
        </row>
        <row r="1044">
          <cell r="AA1044" t="str">
            <v>Костромская область</v>
          </cell>
        </row>
        <row r="1045">
          <cell r="AA1045" t="str">
            <v>Костромская область</v>
          </cell>
        </row>
        <row r="1046">
          <cell r="AA1046" t="str">
            <v>Костромская область</v>
          </cell>
        </row>
        <row r="1047">
          <cell r="AA1047" t="str">
            <v>Костромская область</v>
          </cell>
        </row>
        <row r="1048">
          <cell r="AA1048" t="str">
            <v>Костромская область</v>
          </cell>
        </row>
        <row r="1049">
          <cell r="AA1049" t="str">
            <v>Костромская область</v>
          </cell>
        </row>
        <row r="1050">
          <cell r="AA1050" t="str">
            <v>Краснодарский край</v>
          </cell>
        </row>
        <row r="1051">
          <cell r="AA1051" t="str">
            <v>Краснодарский край</v>
          </cell>
        </row>
        <row r="1052">
          <cell r="AA1052" t="str">
            <v>Краснодарский край</v>
          </cell>
        </row>
        <row r="1053">
          <cell r="AA1053" t="str">
            <v>Краснодарский край</v>
          </cell>
        </row>
        <row r="1054">
          <cell r="AA1054" t="str">
            <v>Краснодарский край</v>
          </cell>
        </row>
        <row r="1055">
          <cell r="AA1055" t="str">
            <v>Краснодарский край</v>
          </cell>
        </row>
        <row r="1056">
          <cell r="AA1056" t="str">
            <v>Краснодарский край</v>
          </cell>
        </row>
        <row r="1057">
          <cell r="AA1057" t="str">
            <v>Краснодарский край</v>
          </cell>
        </row>
        <row r="1058">
          <cell r="AA1058" t="str">
            <v>Краснодарский край</v>
          </cell>
        </row>
        <row r="1059">
          <cell r="AA1059" t="str">
            <v>Краснодарский край</v>
          </cell>
        </row>
        <row r="1060">
          <cell r="AA1060" t="str">
            <v>Краснодарский край</v>
          </cell>
        </row>
        <row r="1061">
          <cell r="AA1061" t="str">
            <v>Краснодарский край</v>
          </cell>
        </row>
        <row r="1062">
          <cell r="AA1062" t="str">
            <v>Краснодарский край</v>
          </cell>
        </row>
        <row r="1063">
          <cell r="AA1063" t="str">
            <v>Краснодарский край</v>
          </cell>
        </row>
        <row r="1064">
          <cell r="AA1064" t="str">
            <v>Краснодарский край</v>
          </cell>
        </row>
        <row r="1065">
          <cell r="AA1065" t="str">
            <v>Краснодарский край</v>
          </cell>
        </row>
        <row r="1066">
          <cell r="AA1066" t="str">
            <v>Краснодарский край</v>
          </cell>
        </row>
        <row r="1067">
          <cell r="AA1067" t="str">
            <v>Краснодарский край</v>
          </cell>
        </row>
        <row r="1068">
          <cell r="AA1068" t="str">
            <v>Краснодарский край</v>
          </cell>
        </row>
        <row r="1069">
          <cell r="AA1069" t="str">
            <v>Краснодарский край</v>
          </cell>
        </row>
        <row r="1070">
          <cell r="AA1070" t="str">
            <v>Краснодарский край</v>
          </cell>
        </row>
        <row r="1071">
          <cell r="AA1071" t="str">
            <v>Краснодарский край</v>
          </cell>
        </row>
        <row r="1072">
          <cell r="AA1072" t="str">
            <v>Краснодарский край</v>
          </cell>
        </row>
        <row r="1073">
          <cell r="AA1073" t="str">
            <v>Краснодарский край</v>
          </cell>
        </row>
        <row r="1074">
          <cell r="AA1074" t="str">
            <v>Краснодарский край</v>
          </cell>
        </row>
        <row r="1075">
          <cell r="AA1075" t="str">
            <v>Краснодарский край</v>
          </cell>
        </row>
        <row r="1076">
          <cell r="AA1076" t="str">
            <v>Краснодарский край</v>
          </cell>
        </row>
        <row r="1077">
          <cell r="AA1077" t="str">
            <v>Краснодарский край</v>
          </cell>
        </row>
        <row r="1078">
          <cell r="AA1078" t="str">
            <v>Краснодарский край</v>
          </cell>
        </row>
        <row r="1079">
          <cell r="AA1079" t="str">
            <v>Краснодарский край</v>
          </cell>
        </row>
        <row r="1080">
          <cell r="AA1080" t="str">
            <v>Краснодарский край</v>
          </cell>
        </row>
        <row r="1081">
          <cell r="AA1081" t="str">
            <v>Краснодарский край</v>
          </cell>
        </row>
        <row r="1082">
          <cell r="AA1082" t="str">
            <v>Краснодарский край</v>
          </cell>
        </row>
        <row r="1083">
          <cell r="AA1083" t="str">
            <v>Краснодарский край</v>
          </cell>
        </row>
        <row r="1084">
          <cell r="AA1084" t="str">
            <v>Краснодарский край</v>
          </cell>
        </row>
        <row r="1085">
          <cell r="AA1085" t="str">
            <v>Краснодарский край</v>
          </cell>
        </row>
        <row r="1086">
          <cell r="AA1086" t="str">
            <v>Краснодарский край</v>
          </cell>
        </row>
        <row r="1087">
          <cell r="AA1087" t="str">
            <v>Краснодарский край</v>
          </cell>
        </row>
        <row r="1088">
          <cell r="AA1088" t="str">
            <v>Краснодарский край</v>
          </cell>
        </row>
        <row r="1089">
          <cell r="AA1089" t="str">
            <v>Краснодарский край</v>
          </cell>
        </row>
        <row r="1090">
          <cell r="AA1090" t="str">
            <v>Краснодарский край</v>
          </cell>
        </row>
        <row r="1091">
          <cell r="AA1091" t="str">
            <v>Краснодарский край</v>
          </cell>
        </row>
        <row r="1092">
          <cell r="AA1092" t="str">
            <v>Краснодарский край</v>
          </cell>
        </row>
        <row r="1093">
          <cell r="AA1093" t="str">
            <v>Краснодарский край</v>
          </cell>
        </row>
        <row r="1094">
          <cell r="AA1094" t="str">
            <v>Краснодарский край</v>
          </cell>
        </row>
        <row r="1095">
          <cell r="AA1095" t="str">
            <v>Краснодарский край</v>
          </cell>
        </row>
        <row r="1096">
          <cell r="AA1096" t="str">
            <v>Краснодарский край</v>
          </cell>
        </row>
        <row r="1097">
          <cell r="AA1097" t="str">
            <v>Краснодарский край</v>
          </cell>
        </row>
        <row r="1098">
          <cell r="AA1098" t="str">
            <v>Краснодарский край</v>
          </cell>
        </row>
        <row r="1099">
          <cell r="AA1099" t="str">
            <v>Краснодарский край</v>
          </cell>
        </row>
        <row r="1100">
          <cell r="AA1100" t="str">
            <v>Краснодарский край</v>
          </cell>
        </row>
        <row r="1101">
          <cell r="AA1101" t="str">
            <v>Краснодарский край</v>
          </cell>
        </row>
        <row r="1102">
          <cell r="AA1102" t="str">
            <v>Краснодарский край</v>
          </cell>
        </row>
        <row r="1103">
          <cell r="AA1103" t="str">
            <v>Краснодарский край</v>
          </cell>
        </row>
        <row r="1104">
          <cell r="AA1104" t="str">
            <v>Краснодарский край</v>
          </cell>
        </row>
        <row r="1105">
          <cell r="AA1105" t="str">
            <v>Краснодарский край</v>
          </cell>
        </row>
        <row r="1106">
          <cell r="AA1106" t="str">
            <v>Краснодарский край</v>
          </cell>
        </row>
        <row r="1107">
          <cell r="AA1107" t="str">
            <v>Краснодарский край</v>
          </cell>
        </row>
        <row r="1108">
          <cell r="AA1108" t="str">
            <v>Краснодарский край</v>
          </cell>
        </row>
        <row r="1109">
          <cell r="AA1109" t="str">
            <v>Краснодарский край</v>
          </cell>
        </row>
        <row r="1110">
          <cell r="AA1110" t="str">
            <v>Краснодарский край</v>
          </cell>
        </row>
        <row r="1111">
          <cell r="AA1111" t="str">
            <v>Краснодарский край</v>
          </cell>
        </row>
        <row r="1112">
          <cell r="AA1112" t="str">
            <v>Краснодарский край</v>
          </cell>
        </row>
        <row r="1113">
          <cell r="AA1113" t="str">
            <v>Краснодарский край</v>
          </cell>
        </row>
        <row r="1114">
          <cell r="AA1114" t="str">
            <v>Краснодарский край</v>
          </cell>
        </row>
        <row r="1115">
          <cell r="AA1115" t="str">
            <v>Краснодарский край</v>
          </cell>
        </row>
        <row r="1116">
          <cell r="AA1116" t="str">
            <v>Краснодарский край</v>
          </cell>
        </row>
        <row r="1117">
          <cell r="AA1117" t="str">
            <v>Краснодарский край</v>
          </cell>
        </row>
        <row r="1118">
          <cell r="AA1118" t="str">
            <v>Краснодарский край</v>
          </cell>
        </row>
        <row r="1119">
          <cell r="AA1119" t="str">
            <v>Краснодарский край</v>
          </cell>
        </row>
        <row r="1120">
          <cell r="AA1120" t="str">
            <v>Краснодарский край</v>
          </cell>
        </row>
        <row r="1121">
          <cell r="AA1121" t="str">
            <v>Краснодарский край</v>
          </cell>
        </row>
        <row r="1122">
          <cell r="AA1122" t="str">
            <v>Краснодарский край</v>
          </cell>
        </row>
        <row r="1123">
          <cell r="AA1123" t="str">
            <v>Краснодарский край</v>
          </cell>
        </row>
        <row r="1124">
          <cell r="AA1124" t="str">
            <v>Краснодарский край</v>
          </cell>
        </row>
        <row r="1125">
          <cell r="AA1125" t="str">
            <v>Краснодарский край</v>
          </cell>
        </row>
        <row r="1126">
          <cell r="AA1126" t="str">
            <v>Краснодарский край</v>
          </cell>
        </row>
        <row r="1127">
          <cell r="AA1127" t="str">
            <v>Краснодарский край</v>
          </cell>
        </row>
        <row r="1128">
          <cell r="AA1128" t="str">
            <v>Краснодарский край</v>
          </cell>
        </row>
        <row r="1129">
          <cell r="AA1129" t="str">
            <v>Краснодарский край</v>
          </cell>
        </row>
        <row r="1130">
          <cell r="AA1130" t="str">
            <v>Краснодарский край</v>
          </cell>
        </row>
        <row r="1131">
          <cell r="AA1131" t="str">
            <v>Краснодарский край</v>
          </cell>
        </row>
        <row r="1132">
          <cell r="AA1132" t="str">
            <v>Краснодарский край</v>
          </cell>
        </row>
        <row r="1133">
          <cell r="AA1133" t="str">
            <v>Краснодарский край</v>
          </cell>
        </row>
        <row r="1134">
          <cell r="AA1134" t="str">
            <v>Краснодарский край</v>
          </cell>
        </row>
        <row r="1135">
          <cell r="AA1135" t="str">
            <v>Краснодарский край</v>
          </cell>
        </row>
        <row r="1136">
          <cell r="AA1136" t="str">
            <v>Краснодарский край</v>
          </cell>
        </row>
        <row r="1137">
          <cell r="AA1137" t="str">
            <v>Краснодарский край</v>
          </cell>
        </row>
        <row r="1138">
          <cell r="AA1138" t="str">
            <v>Краснодарский край</v>
          </cell>
        </row>
        <row r="1139">
          <cell r="AA1139" t="str">
            <v>Краснодарский край</v>
          </cell>
        </row>
        <row r="1140">
          <cell r="AA1140" t="str">
            <v>Краснодарский край</v>
          </cell>
        </row>
        <row r="1141">
          <cell r="AA1141" t="str">
            <v>Краснодарский край</v>
          </cell>
        </row>
        <row r="1142">
          <cell r="AA1142" t="str">
            <v>Краснодарский край</v>
          </cell>
        </row>
        <row r="1143">
          <cell r="AA1143" t="str">
            <v>Краснодарский край</v>
          </cell>
        </row>
        <row r="1144">
          <cell r="AA1144" t="str">
            <v>Краснодарский край</v>
          </cell>
        </row>
        <row r="1145">
          <cell r="AA1145" t="str">
            <v>Краснодарский край</v>
          </cell>
        </row>
        <row r="1146">
          <cell r="AA1146" t="str">
            <v>Краснодарский край</v>
          </cell>
        </row>
        <row r="1147">
          <cell r="AA1147" t="str">
            <v>Краснодарский край</v>
          </cell>
        </row>
        <row r="1148">
          <cell r="AA1148" t="str">
            <v>Краснодарский край</v>
          </cell>
        </row>
        <row r="1149">
          <cell r="AA1149" t="str">
            <v>Краснодарский край</v>
          </cell>
        </row>
        <row r="1150">
          <cell r="AA1150" t="str">
            <v>Краснодарский край</v>
          </cell>
        </row>
        <row r="1151">
          <cell r="AA1151" t="str">
            <v>Краснодарский край</v>
          </cell>
        </row>
        <row r="1152">
          <cell r="AA1152" t="str">
            <v>Краснодарский край</v>
          </cell>
        </row>
        <row r="1153">
          <cell r="AA1153" t="str">
            <v>Краснодарский край</v>
          </cell>
        </row>
        <row r="1154">
          <cell r="AA1154" t="str">
            <v>Краснодарский край</v>
          </cell>
        </row>
        <row r="1155">
          <cell r="AA1155" t="str">
            <v>Краснодарский край</v>
          </cell>
        </row>
        <row r="1156">
          <cell r="AA1156" t="str">
            <v>Краснодарский край</v>
          </cell>
        </row>
        <row r="1157">
          <cell r="AA1157" t="str">
            <v>Краснодарский край</v>
          </cell>
        </row>
        <row r="1158">
          <cell r="AA1158" t="str">
            <v>Краснодарский край</v>
          </cell>
        </row>
        <row r="1159">
          <cell r="AA1159" t="str">
            <v>Краснодарский край</v>
          </cell>
        </row>
        <row r="1160">
          <cell r="AA1160" t="str">
            <v>Краснодарский край</v>
          </cell>
        </row>
        <row r="1161">
          <cell r="AA1161" t="str">
            <v>Красноярский край</v>
          </cell>
        </row>
        <row r="1162">
          <cell r="AA1162" t="str">
            <v>Красноярский край</v>
          </cell>
        </row>
        <row r="1163">
          <cell r="AA1163" t="str">
            <v>Красноярский край</v>
          </cell>
        </row>
        <row r="1164">
          <cell r="AA1164" t="str">
            <v>Красноярский край</v>
          </cell>
        </row>
        <row r="1165">
          <cell r="AA1165" t="str">
            <v>Красноярский край</v>
          </cell>
        </row>
        <row r="1166">
          <cell r="AA1166" t="str">
            <v>Красноярский край</v>
          </cell>
        </row>
        <row r="1167">
          <cell r="AA1167" t="str">
            <v>Красноярский край</v>
          </cell>
        </row>
        <row r="1168">
          <cell r="AA1168" t="str">
            <v>Красноярский край</v>
          </cell>
        </row>
        <row r="1169">
          <cell r="AA1169" t="str">
            <v>Красноярский край</v>
          </cell>
        </row>
        <row r="1170">
          <cell r="AA1170" t="str">
            <v>Красноярский край</v>
          </cell>
        </row>
        <row r="1171">
          <cell r="AA1171" t="str">
            <v>Красноярский край</v>
          </cell>
        </row>
        <row r="1172">
          <cell r="AA1172" t="str">
            <v>Красноярский край</v>
          </cell>
        </row>
        <row r="1173">
          <cell r="AA1173" t="str">
            <v>Красноярский край</v>
          </cell>
        </row>
        <row r="1174">
          <cell r="AA1174" t="str">
            <v>Красноярский край</v>
          </cell>
        </row>
        <row r="1175">
          <cell r="AA1175" t="str">
            <v>Красноярский край</v>
          </cell>
        </row>
        <row r="1176">
          <cell r="AA1176" t="str">
            <v>Красноярский край</v>
          </cell>
        </row>
        <row r="1177">
          <cell r="AA1177" t="str">
            <v>Красноярский край</v>
          </cell>
        </row>
        <row r="1178">
          <cell r="AA1178" t="str">
            <v>Красноярский край</v>
          </cell>
        </row>
        <row r="1179">
          <cell r="AA1179" t="str">
            <v>Красноярский край</v>
          </cell>
        </row>
        <row r="1180">
          <cell r="AA1180" t="str">
            <v>Красноярский край</v>
          </cell>
        </row>
        <row r="1181">
          <cell r="AA1181" t="str">
            <v>Красноярский край</v>
          </cell>
        </row>
        <row r="1182">
          <cell r="AA1182" t="str">
            <v>Красноярский край</v>
          </cell>
        </row>
        <row r="1183">
          <cell r="AA1183" t="str">
            <v>Красноярский край</v>
          </cell>
        </row>
        <row r="1184">
          <cell r="AA1184" t="str">
            <v>Красноярский край</v>
          </cell>
        </row>
        <row r="1185">
          <cell r="AA1185" t="str">
            <v>Красноярский край</v>
          </cell>
        </row>
        <row r="1186">
          <cell r="AA1186" t="str">
            <v>Красноярский край</v>
          </cell>
        </row>
        <row r="1187">
          <cell r="AA1187" t="str">
            <v>Красноярский край</v>
          </cell>
        </row>
        <row r="1188">
          <cell r="AA1188" t="str">
            <v>Красноярский край</v>
          </cell>
        </row>
        <row r="1189">
          <cell r="AA1189" t="str">
            <v>Красноярский край</v>
          </cell>
        </row>
        <row r="1190">
          <cell r="AA1190" t="str">
            <v>Красноярский край</v>
          </cell>
        </row>
        <row r="1191">
          <cell r="AA1191" t="str">
            <v>Красноярский край</v>
          </cell>
        </row>
        <row r="1192">
          <cell r="AA1192" t="str">
            <v>Красноярский край</v>
          </cell>
        </row>
        <row r="1193">
          <cell r="AA1193" t="str">
            <v>Красноярский край</v>
          </cell>
        </row>
        <row r="1194">
          <cell r="AA1194" t="str">
            <v>Красноярский край</v>
          </cell>
        </row>
        <row r="1195">
          <cell r="AA1195" t="str">
            <v>Красноярский край</v>
          </cell>
        </row>
        <row r="1196">
          <cell r="AA1196" t="str">
            <v>Красноярский край</v>
          </cell>
        </row>
        <row r="1197">
          <cell r="AA1197" t="str">
            <v>Красноярский край</v>
          </cell>
        </row>
        <row r="1198">
          <cell r="AA1198" t="str">
            <v>Красноярский край</v>
          </cell>
        </row>
        <row r="1199">
          <cell r="AA1199" t="str">
            <v>Красноярский край</v>
          </cell>
        </row>
        <row r="1200">
          <cell r="AA1200" t="str">
            <v>Красноярский край</v>
          </cell>
        </row>
        <row r="1201">
          <cell r="AA1201" t="str">
            <v>Красноярский край</v>
          </cell>
        </row>
        <row r="1202">
          <cell r="AA1202" t="str">
            <v>Красноярский край</v>
          </cell>
        </row>
        <row r="1203">
          <cell r="AA1203" t="str">
            <v>Красноярский край</v>
          </cell>
        </row>
        <row r="1204">
          <cell r="AA1204" t="str">
            <v>Красноярский край</v>
          </cell>
        </row>
        <row r="1205">
          <cell r="AA1205" t="str">
            <v>Красноярский край</v>
          </cell>
        </row>
        <row r="1206">
          <cell r="AA1206" t="str">
            <v>Красноярский край</v>
          </cell>
        </row>
        <row r="1207">
          <cell r="AA1207" t="str">
            <v>Красноярский край</v>
          </cell>
        </row>
        <row r="1208">
          <cell r="AA1208" t="str">
            <v>Красноярский край</v>
          </cell>
        </row>
        <row r="1209">
          <cell r="AA1209" t="str">
            <v>Красноярский край</v>
          </cell>
        </row>
        <row r="1210">
          <cell r="AA1210" t="str">
            <v>Красноярский край</v>
          </cell>
        </row>
        <row r="1211">
          <cell r="AA1211" t="str">
            <v>Красноярский край</v>
          </cell>
        </row>
        <row r="1212">
          <cell r="AA1212" t="str">
            <v>Красноярский край</v>
          </cell>
        </row>
        <row r="1213">
          <cell r="AA1213" t="str">
            <v>Красноярский край</v>
          </cell>
        </row>
        <row r="1214">
          <cell r="AA1214" t="str">
            <v>Красноярский край</v>
          </cell>
        </row>
        <row r="1215">
          <cell r="AA1215" t="str">
            <v>Красноярский край</v>
          </cell>
        </row>
        <row r="1216">
          <cell r="AA1216" t="str">
            <v>Красноярский край</v>
          </cell>
        </row>
        <row r="1217">
          <cell r="AA1217" t="str">
            <v>Красноярский край</v>
          </cell>
        </row>
        <row r="1218">
          <cell r="AA1218" t="str">
            <v>Красноярский край</v>
          </cell>
        </row>
        <row r="1219">
          <cell r="AA1219" t="str">
            <v>Красноярский край</v>
          </cell>
        </row>
        <row r="1220">
          <cell r="AA1220" t="str">
            <v>Красноярский край</v>
          </cell>
        </row>
        <row r="1221">
          <cell r="AA1221" t="str">
            <v>Красноярский край</v>
          </cell>
        </row>
        <row r="1222">
          <cell r="AA1222" t="str">
            <v>Красноярский край</v>
          </cell>
        </row>
        <row r="1223">
          <cell r="AA1223" t="str">
            <v>Красноярский край</v>
          </cell>
        </row>
        <row r="1224">
          <cell r="AA1224" t="str">
            <v>Красноярский край</v>
          </cell>
        </row>
        <row r="1225">
          <cell r="AA1225" t="str">
            <v>Красноярский край</v>
          </cell>
        </row>
        <row r="1226">
          <cell r="AA1226" t="str">
            <v>Красноярский край</v>
          </cell>
        </row>
        <row r="1227">
          <cell r="AA1227" t="str">
            <v>Красноярский край</v>
          </cell>
        </row>
        <row r="1228">
          <cell r="AA1228" t="str">
            <v>Красноярский край</v>
          </cell>
        </row>
        <row r="1229">
          <cell r="AA1229" t="str">
            <v>Красноярский край</v>
          </cell>
        </row>
        <row r="1230">
          <cell r="AA1230" t="str">
            <v>Красноярский край</v>
          </cell>
        </row>
        <row r="1231">
          <cell r="AA1231" t="str">
            <v>Красноярский край</v>
          </cell>
        </row>
        <row r="1232">
          <cell r="AA1232" t="str">
            <v>Красноярский край</v>
          </cell>
        </row>
        <row r="1233">
          <cell r="AA1233" t="str">
            <v>Красноярский край</v>
          </cell>
        </row>
        <row r="1234">
          <cell r="AA1234" t="str">
            <v>Красноярский край</v>
          </cell>
        </row>
        <row r="1235">
          <cell r="AA1235" t="str">
            <v>Красноярский край</v>
          </cell>
        </row>
        <row r="1236">
          <cell r="AA1236" t="str">
            <v>Красноярский край</v>
          </cell>
        </row>
        <row r="1237">
          <cell r="AA1237" t="str">
            <v>Красноярский край</v>
          </cell>
        </row>
        <row r="1238">
          <cell r="AA1238" t="str">
            <v>Красноярский край</v>
          </cell>
        </row>
        <row r="1239">
          <cell r="AA1239" t="str">
            <v>Красноярский край</v>
          </cell>
        </row>
        <row r="1240">
          <cell r="AA1240" t="str">
            <v>Красноярский край</v>
          </cell>
        </row>
        <row r="1241">
          <cell r="AA1241" t="str">
            <v>Красноярский край</v>
          </cell>
        </row>
        <row r="1242">
          <cell r="AA1242" t="str">
            <v>Красноярский край</v>
          </cell>
        </row>
        <row r="1243">
          <cell r="AA1243" t="str">
            <v>Красноярский край</v>
          </cell>
        </row>
        <row r="1244">
          <cell r="AA1244" t="str">
            <v>Красноярский край</v>
          </cell>
        </row>
        <row r="1245">
          <cell r="AA1245" t="str">
            <v>Красноярский край</v>
          </cell>
        </row>
        <row r="1246">
          <cell r="AA1246" t="str">
            <v>Курганская область</v>
          </cell>
        </row>
        <row r="1247">
          <cell r="AA1247" t="str">
            <v>Курганская область</v>
          </cell>
        </row>
        <row r="1248">
          <cell r="AA1248" t="str">
            <v>Курганская область</v>
          </cell>
        </row>
        <row r="1249">
          <cell r="AA1249" t="str">
            <v>Курганская область</v>
          </cell>
        </row>
        <row r="1250">
          <cell r="AA1250" t="str">
            <v>Курганская область</v>
          </cell>
        </row>
        <row r="1251">
          <cell r="AA1251" t="str">
            <v>Курганская область</v>
          </cell>
        </row>
        <row r="1252">
          <cell r="AA1252" t="str">
            <v>Курганская область</v>
          </cell>
        </row>
        <row r="1253">
          <cell r="AA1253" t="str">
            <v>Курганская область</v>
          </cell>
        </row>
        <row r="1254">
          <cell r="AA1254" t="str">
            <v>Курганская область</v>
          </cell>
        </row>
        <row r="1255">
          <cell r="AA1255" t="str">
            <v>Курганская область</v>
          </cell>
        </row>
        <row r="1256">
          <cell r="AA1256" t="str">
            <v>Курганская область</v>
          </cell>
        </row>
        <row r="1257">
          <cell r="AA1257" t="str">
            <v>Курганская область</v>
          </cell>
        </row>
        <row r="1258">
          <cell r="AA1258" t="str">
            <v>Курганская область</v>
          </cell>
        </row>
        <row r="1259">
          <cell r="AA1259" t="str">
            <v>Курганская область</v>
          </cell>
        </row>
        <row r="1260">
          <cell r="AA1260" t="str">
            <v>Курганская область</v>
          </cell>
        </row>
        <row r="1261">
          <cell r="AA1261" t="str">
            <v>Курганская область</v>
          </cell>
        </row>
        <row r="1262">
          <cell r="AA1262" t="str">
            <v>Курганская область</v>
          </cell>
        </row>
        <row r="1263">
          <cell r="AA1263" t="str">
            <v>Курганская область</v>
          </cell>
        </row>
        <row r="1264">
          <cell r="AA1264" t="str">
            <v>Курганская область</v>
          </cell>
        </row>
        <row r="1265">
          <cell r="AA1265" t="str">
            <v>Курганская область</v>
          </cell>
        </row>
        <row r="1266">
          <cell r="AA1266" t="str">
            <v>Курганская область</v>
          </cell>
        </row>
        <row r="1267">
          <cell r="AA1267" t="str">
            <v>Курганская область</v>
          </cell>
        </row>
        <row r="1268">
          <cell r="AA1268" t="str">
            <v>Курганская область</v>
          </cell>
        </row>
        <row r="1269">
          <cell r="AA1269" t="str">
            <v>Курганская область</v>
          </cell>
        </row>
        <row r="1270">
          <cell r="AA1270" t="str">
            <v>Курганская область</v>
          </cell>
        </row>
        <row r="1271">
          <cell r="AA1271" t="str">
            <v>Курганская область</v>
          </cell>
        </row>
        <row r="1272">
          <cell r="AA1272" t="str">
            <v>Курганская область</v>
          </cell>
        </row>
        <row r="1273">
          <cell r="AA1273" t="str">
            <v>Курганская область</v>
          </cell>
        </row>
        <row r="1274">
          <cell r="AA1274" t="str">
            <v>Курганская область</v>
          </cell>
        </row>
        <row r="1275">
          <cell r="AA1275" t="str">
            <v>Курганская область</v>
          </cell>
        </row>
        <row r="1276">
          <cell r="AA1276" t="str">
            <v>Курганская область</v>
          </cell>
        </row>
        <row r="1277">
          <cell r="AA1277" t="str">
            <v>Курганская область</v>
          </cell>
        </row>
        <row r="1278">
          <cell r="AA1278" t="str">
            <v>Курская область</v>
          </cell>
        </row>
        <row r="1279">
          <cell r="AA1279" t="str">
            <v>Курская область</v>
          </cell>
        </row>
        <row r="1280">
          <cell r="AA1280" t="str">
            <v>Курская область</v>
          </cell>
        </row>
        <row r="1281">
          <cell r="AA1281" t="str">
            <v>Курская область</v>
          </cell>
        </row>
        <row r="1282">
          <cell r="AA1282" t="str">
            <v>Курская область</v>
          </cell>
        </row>
        <row r="1283">
          <cell r="AA1283" t="str">
            <v>Курская область</v>
          </cell>
        </row>
        <row r="1284">
          <cell r="AA1284" t="str">
            <v>Курская область</v>
          </cell>
        </row>
        <row r="1285">
          <cell r="AA1285" t="str">
            <v>Курская область</v>
          </cell>
        </row>
        <row r="1286">
          <cell r="AA1286" t="str">
            <v>Курская область</v>
          </cell>
        </row>
        <row r="1287">
          <cell r="AA1287" t="str">
            <v>Курская область</v>
          </cell>
        </row>
        <row r="1288">
          <cell r="AA1288" t="str">
            <v>Курская область</v>
          </cell>
        </row>
        <row r="1289">
          <cell r="AA1289" t="str">
            <v>Курская область</v>
          </cell>
        </row>
        <row r="1290">
          <cell r="AA1290" t="str">
            <v>Курская область</v>
          </cell>
        </row>
        <row r="1291">
          <cell r="AA1291" t="str">
            <v>Курская область</v>
          </cell>
        </row>
        <row r="1292">
          <cell r="AA1292" t="str">
            <v>Курская область</v>
          </cell>
        </row>
        <row r="1293">
          <cell r="AA1293" t="str">
            <v>Курская область</v>
          </cell>
        </row>
        <row r="1294">
          <cell r="AA1294" t="str">
            <v>Курская область</v>
          </cell>
        </row>
        <row r="1295">
          <cell r="AA1295" t="str">
            <v>Курская область</v>
          </cell>
        </row>
        <row r="1296">
          <cell r="AA1296" t="str">
            <v>Курская область</v>
          </cell>
        </row>
        <row r="1297">
          <cell r="AA1297" t="str">
            <v>Курская область</v>
          </cell>
        </row>
        <row r="1298">
          <cell r="AA1298" t="str">
            <v>Курская область</v>
          </cell>
        </row>
        <row r="1299">
          <cell r="AA1299" t="str">
            <v>Курская область</v>
          </cell>
        </row>
        <row r="1300">
          <cell r="AA1300" t="str">
            <v>Курская область</v>
          </cell>
        </row>
        <row r="1301">
          <cell r="AA1301" t="str">
            <v>Курская область</v>
          </cell>
        </row>
        <row r="1302">
          <cell r="AA1302" t="str">
            <v>Курская область</v>
          </cell>
        </row>
        <row r="1303">
          <cell r="AA1303" t="str">
            <v>Курская область</v>
          </cell>
        </row>
        <row r="1304">
          <cell r="AA1304" t="str">
            <v>Курская область</v>
          </cell>
        </row>
        <row r="1305">
          <cell r="AA1305" t="str">
            <v>Курская область</v>
          </cell>
        </row>
        <row r="1306">
          <cell r="AA1306" t="str">
            <v>Курская область</v>
          </cell>
        </row>
        <row r="1307">
          <cell r="AA1307" t="str">
            <v>Курская область</v>
          </cell>
        </row>
        <row r="1308">
          <cell r="AA1308" t="str">
            <v>Курская область</v>
          </cell>
        </row>
        <row r="1309">
          <cell r="AA1309" t="str">
            <v>Курская область</v>
          </cell>
        </row>
        <row r="1310">
          <cell r="AA1310" t="str">
            <v>Курская область</v>
          </cell>
        </row>
        <row r="1311">
          <cell r="AA1311" t="str">
            <v>Курская область</v>
          </cell>
        </row>
        <row r="1312">
          <cell r="AA1312" t="str">
            <v>Курская область</v>
          </cell>
        </row>
        <row r="1313">
          <cell r="AA1313" t="str">
            <v>Курская область</v>
          </cell>
        </row>
        <row r="1314">
          <cell r="AA1314" t="str">
            <v>Курская область</v>
          </cell>
        </row>
        <row r="1315">
          <cell r="AA1315" t="str">
            <v>Курская область</v>
          </cell>
        </row>
        <row r="1316">
          <cell r="AA1316" t="str">
            <v>Курская область</v>
          </cell>
        </row>
        <row r="1317">
          <cell r="AA1317" t="str">
            <v>Курская область</v>
          </cell>
        </row>
        <row r="1318">
          <cell r="AA1318" t="str">
            <v>Курская область</v>
          </cell>
        </row>
        <row r="1319">
          <cell r="AA1319" t="str">
            <v>Ленинградская область</v>
          </cell>
        </row>
        <row r="1320">
          <cell r="AA1320" t="str">
            <v>Ленинградская область</v>
          </cell>
        </row>
        <row r="1321">
          <cell r="AA1321" t="str">
            <v>Ленинградская область</v>
          </cell>
        </row>
        <row r="1322">
          <cell r="AA1322" t="str">
            <v>Ленинградская область</v>
          </cell>
        </row>
        <row r="1323">
          <cell r="AA1323" t="str">
            <v>Ленинградская область</v>
          </cell>
        </row>
        <row r="1324">
          <cell r="AA1324" t="str">
            <v>Ленинградская область</v>
          </cell>
        </row>
        <row r="1325">
          <cell r="AA1325" t="str">
            <v>Ленинградская область</v>
          </cell>
        </row>
        <row r="1326">
          <cell r="AA1326" t="str">
            <v>Ленинградская область</v>
          </cell>
        </row>
        <row r="1327">
          <cell r="AA1327" t="str">
            <v>Ленинградская область</v>
          </cell>
        </row>
        <row r="1328">
          <cell r="AA1328" t="str">
            <v>Ленинградская область</v>
          </cell>
        </row>
        <row r="1329">
          <cell r="AA1329" t="str">
            <v>Ленинградская область</v>
          </cell>
        </row>
        <row r="1330">
          <cell r="AA1330" t="str">
            <v>Ленинградская область</v>
          </cell>
        </row>
        <row r="1331">
          <cell r="AA1331" t="str">
            <v>Ленинградская область</v>
          </cell>
        </row>
        <row r="1332">
          <cell r="AA1332" t="str">
            <v>Ленинградская область</v>
          </cell>
        </row>
        <row r="1333">
          <cell r="AA1333" t="str">
            <v>Ленинградская область</v>
          </cell>
        </row>
        <row r="1334">
          <cell r="AA1334" t="str">
            <v>Ленинградская область</v>
          </cell>
        </row>
        <row r="1335">
          <cell r="AA1335" t="str">
            <v>Ленинградская область</v>
          </cell>
        </row>
        <row r="1336">
          <cell r="AA1336" t="str">
            <v>Ленинградская область</v>
          </cell>
        </row>
        <row r="1337">
          <cell r="AA1337" t="str">
            <v>Ленинградская область</v>
          </cell>
        </row>
        <row r="1338">
          <cell r="AA1338" t="str">
            <v>Ленинградская область</v>
          </cell>
        </row>
        <row r="1339">
          <cell r="AA1339" t="str">
            <v>Ленинградская область</v>
          </cell>
        </row>
        <row r="1340">
          <cell r="AA1340" t="str">
            <v>Ленинградская область</v>
          </cell>
        </row>
        <row r="1341">
          <cell r="AA1341" t="str">
            <v>Ленинградская область</v>
          </cell>
        </row>
        <row r="1342">
          <cell r="AA1342" t="str">
            <v>Ленинградская область</v>
          </cell>
        </row>
        <row r="1343">
          <cell r="AA1343" t="str">
            <v>Липецкая область</v>
          </cell>
        </row>
        <row r="1344">
          <cell r="AA1344" t="str">
            <v>Липецкая область</v>
          </cell>
        </row>
        <row r="1345">
          <cell r="AA1345" t="str">
            <v>Липецкая область</v>
          </cell>
        </row>
        <row r="1346">
          <cell r="AA1346" t="str">
            <v>Липецкая область</v>
          </cell>
        </row>
        <row r="1347">
          <cell r="AA1347" t="str">
            <v>Липецкая область</v>
          </cell>
        </row>
        <row r="1348">
          <cell r="AA1348" t="str">
            <v>Липецкая область</v>
          </cell>
        </row>
        <row r="1349">
          <cell r="AA1349" t="str">
            <v>Липецкая область</v>
          </cell>
        </row>
        <row r="1350">
          <cell r="AA1350" t="str">
            <v>Липецкая область</v>
          </cell>
        </row>
        <row r="1351">
          <cell r="AA1351" t="str">
            <v>Липецкая область</v>
          </cell>
        </row>
        <row r="1352">
          <cell r="AA1352" t="str">
            <v>Липецкая область</v>
          </cell>
        </row>
        <row r="1353">
          <cell r="AA1353" t="str">
            <v>Липецкая область</v>
          </cell>
        </row>
        <row r="1354">
          <cell r="AA1354" t="str">
            <v>Липецкая область</v>
          </cell>
        </row>
        <row r="1355">
          <cell r="AA1355" t="str">
            <v>Липецкая область</v>
          </cell>
        </row>
        <row r="1356">
          <cell r="AA1356" t="str">
            <v>Липецкая область</v>
          </cell>
        </row>
        <row r="1357">
          <cell r="AA1357" t="str">
            <v>Липецкая область</v>
          </cell>
        </row>
        <row r="1358">
          <cell r="AA1358" t="str">
            <v>Липецкая область</v>
          </cell>
        </row>
        <row r="1359">
          <cell r="AA1359" t="str">
            <v>Липецкая область</v>
          </cell>
        </row>
        <row r="1360">
          <cell r="AA1360" t="str">
            <v>Липецкая область</v>
          </cell>
        </row>
        <row r="1361">
          <cell r="AA1361" t="str">
            <v>Липецкая область</v>
          </cell>
        </row>
        <row r="1362">
          <cell r="AA1362" t="str">
            <v>Липецкая область</v>
          </cell>
        </row>
        <row r="1363">
          <cell r="AA1363" t="str">
            <v>Липецкая область</v>
          </cell>
        </row>
        <row r="1364">
          <cell r="AA1364" t="str">
            <v>Липецкая область</v>
          </cell>
        </row>
        <row r="1365">
          <cell r="AA1365" t="str">
            <v>Липецкая область</v>
          </cell>
        </row>
        <row r="1366">
          <cell r="AA1366" t="str">
            <v>Липецкая область</v>
          </cell>
        </row>
        <row r="1367">
          <cell r="AA1367" t="str">
            <v>Липецкая область</v>
          </cell>
        </row>
        <row r="1368">
          <cell r="AA1368" t="str">
            <v>Липецкая область</v>
          </cell>
        </row>
        <row r="1369">
          <cell r="AA1369" t="str">
            <v>Липецкая область</v>
          </cell>
        </row>
        <row r="1370">
          <cell r="AA1370" t="str">
            <v>Липецкая область</v>
          </cell>
        </row>
        <row r="1371">
          <cell r="AA1371" t="str">
            <v>Липецкая область</v>
          </cell>
        </row>
        <row r="1372">
          <cell r="AA1372" t="str">
            <v>Липецкая область</v>
          </cell>
        </row>
        <row r="1373">
          <cell r="AA1373" t="str">
            <v>Липецкая область</v>
          </cell>
        </row>
        <row r="1374">
          <cell r="AA1374" t="str">
            <v>Магаданская область</v>
          </cell>
        </row>
        <row r="1375">
          <cell r="AA1375" t="str">
            <v>Магаданская область</v>
          </cell>
        </row>
        <row r="1376">
          <cell r="AA1376" t="str">
            <v>Магаданская область</v>
          </cell>
        </row>
        <row r="1377">
          <cell r="AA1377" t="str">
            <v>Магаданская область</v>
          </cell>
        </row>
        <row r="1378">
          <cell r="AA1378" t="str">
            <v>Магаданская область</v>
          </cell>
        </row>
        <row r="1379">
          <cell r="AA1379" t="str">
            <v>Магаданская область</v>
          </cell>
        </row>
        <row r="1380">
          <cell r="AA1380" t="str">
            <v>Магаданская область</v>
          </cell>
        </row>
        <row r="1381">
          <cell r="AA1381" t="str">
            <v>Магаданская область</v>
          </cell>
        </row>
        <row r="1382">
          <cell r="AA1382" t="str">
            <v>Магаданская область</v>
          </cell>
        </row>
        <row r="1383">
          <cell r="AA1383" t="str">
            <v>Магаданская область</v>
          </cell>
        </row>
        <row r="1384">
          <cell r="AA1384" t="str">
            <v>Магаданская область</v>
          </cell>
        </row>
        <row r="1385">
          <cell r="AA1385" t="str">
            <v>Магаданская область</v>
          </cell>
        </row>
        <row r="1386">
          <cell r="AA1386" t="str">
            <v>Магаданская область</v>
          </cell>
        </row>
        <row r="1387">
          <cell r="AA1387" t="str">
            <v>Московская область</v>
          </cell>
        </row>
        <row r="1388">
          <cell r="AA1388" t="str">
            <v>Московская область</v>
          </cell>
        </row>
        <row r="1389">
          <cell r="AA1389" t="str">
            <v>Московская область</v>
          </cell>
        </row>
        <row r="1390">
          <cell r="AA1390" t="str">
            <v>Московская область</v>
          </cell>
        </row>
        <row r="1391">
          <cell r="AA1391" t="str">
            <v>Московская область</v>
          </cell>
        </row>
        <row r="1392">
          <cell r="AA1392" t="str">
            <v>Московская область</v>
          </cell>
        </row>
        <row r="1393">
          <cell r="AA1393" t="str">
            <v>Московская область</v>
          </cell>
        </row>
        <row r="1394">
          <cell r="AA1394" t="str">
            <v>Московская область</v>
          </cell>
        </row>
        <row r="1395">
          <cell r="AA1395" t="str">
            <v>Московская область</v>
          </cell>
        </row>
        <row r="1396">
          <cell r="AA1396" t="str">
            <v>Московская область</v>
          </cell>
        </row>
        <row r="1397">
          <cell r="AA1397" t="str">
            <v>Московская область</v>
          </cell>
        </row>
        <row r="1398">
          <cell r="AA1398" t="str">
            <v>Московская область</v>
          </cell>
        </row>
        <row r="1399">
          <cell r="AA1399" t="str">
            <v>Московская область</v>
          </cell>
        </row>
        <row r="1400">
          <cell r="AA1400" t="str">
            <v>Московская область</v>
          </cell>
        </row>
        <row r="1401">
          <cell r="AA1401" t="str">
            <v>Московская область</v>
          </cell>
        </row>
        <row r="1402">
          <cell r="AA1402" t="str">
            <v>Московская область</v>
          </cell>
        </row>
        <row r="1403">
          <cell r="AA1403" t="str">
            <v>Московская область</v>
          </cell>
        </row>
        <row r="1404">
          <cell r="AA1404" t="str">
            <v>Московская область</v>
          </cell>
        </row>
        <row r="1405">
          <cell r="AA1405" t="str">
            <v>Московская область</v>
          </cell>
        </row>
        <row r="1406">
          <cell r="AA1406" t="str">
            <v>Московская область</v>
          </cell>
        </row>
        <row r="1407">
          <cell r="AA1407" t="str">
            <v>Московская область</v>
          </cell>
        </row>
        <row r="1408">
          <cell r="AA1408" t="str">
            <v>Московская область</v>
          </cell>
        </row>
        <row r="1409">
          <cell r="AA1409" t="str">
            <v>Московская область</v>
          </cell>
        </row>
        <row r="1410">
          <cell r="AA1410" t="str">
            <v>Московская область</v>
          </cell>
        </row>
        <row r="1411">
          <cell r="AA1411" t="str">
            <v>Московская область</v>
          </cell>
        </row>
        <row r="1412">
          <cell r="AA1412" t="str">
            <v>Московская область</v>
          </cell>
        </row>
        <row r="1413">
          <cell r="AA1413" t="str">
            <v>Московская область</v>
          </cell>
        </row>
        <row r="1414">
          <cell r="AA1414" t="str">
            <v>Московская область</v>
          </cell>
        </row>
        <row r="1415">
          <cell r="AA1415" t="str">
            <v>Московская область</v>
          </cell>
        </row>
        <row r="1416">
          <cell r="AA1416" t="str">
            <v>Московская область</v>
          </cell>
        </row>
        <row r="1417">
          <cell r="AA1417" t="str">
            <v>Московская область</v>
          </cell>
        </row>
        <row r="1418">
          <cell r="AA1418" t="str">
            <v>Московская область</v>
          </cell>
        </row>
        <row r="1419">
          <cell r="AA1419" t="str">
            <v>Московская область</v>
          </cell>
        </row>
        <row r="1420">
          <cell r="AA1420" t="str">
            <v>Московская область</v>
          </cell>
        </row>
        <row r="1421">
          <cell r="AA1421" t="str">
            <v>Московская область</v>
          </cell>
        </row>
        <row r="1422">
          <cell r="AA1422" t="str">
            <v>Московская область</v>
          </cell>
        </row>
        <row r="1423">
          <cell r="AA1423" t="str">
            <v>Московская область</v>
          </cell>
        </row>
        <row r="1424">
          <cell r="AA1424" t="str">
            <v>Московская область</v>
          </cell>
        </row>
        <row r="1425">
          <cell r="AA1425" t="str">
            <v>Московская область</v>
          </cell>
        </row>
        <row r="1426">
          <cell r="AA1426" t="str">
            <v>Московская область</v>
          </cell>
        </row>
        <row r="1427">
          <cell r="AA1427" t="str">
            <v>Московская область</v>
          </cell>
        </row>
        <row r="1428">
          <cell r="AA1428" t="str">
            <v>Московская область</v>
          </cell>
        </row>
        <row r="1429">
          <cell r="AA1429" t="str">
            <v>Московская область</v>
          </cell>
        </row>
        <row r="1430">
          <cell r="AA1430" t="str">
            <v>Московская область</v>
          </cell>
        </row>
        <row r="1431">
          <cell r="AA1431" t="str">
            <v>Московская область</v>
          </cell>
        </row>
        <row r="1432">
          <cell r="AA1432" t="str">
            <v>Московская область</v>
          </cell>
        </row>
        <row r="1433">
          <cell r="AA1433" t="str">
            <v>Московская область</v>
          </cell>
        </row>
        <row r="1434">
          <cell r="AA1434" t="str">
            <v>Московская область</v>
          </cell>
        </row>
        <row r="1435">
          <cell r="AA1435" t="str">
            <v>Московская область</v>
          </cell>
        </row>
        <row r="1436">
          <cell r="AA1436" t="str">
            <v>Московская область</v>
          </cell>
        </row>
        <row r="1437">
          <cell r="AA1437" t="str">
            <v>Московская область</v>
          </cell>
        </row>
        <row r="1438">
          <cell r="AA1438" t="str">
            <v>Московская область</v>
          </cell>
        </row>
        <row r="1439">
          <cell r="AA1439" t="str">
            <v>Московская область</v>
          </cell>
        </row>
        <row r="1440">
          <cell r="AA1440" t="str">
            <v>Московская область</v>
          </cell>
        </row>
        <row r="1441">
          <cell r="AA1441" t="str">
            <v>Московская область</v>
          </cell>
        </row>
        <row r="1442">
          <cell r="AA1442" t="str">
            <v>Московская область</v>
          </cell>
        </row>
        <row r="1443">
          <cell r="AA1443" t="str">
            <v>Московская область</v>
          </cell>
        </row>
        <row r="1444">
          <cell r="AA1444" t="str">
            <v>Московская область</v>
          </cell>
        </row>
        <row r="1445">
          <cell r="AA1445" t="str">
            <v>Московская область</v>
          </cell>
        </row>
        <row r="1446">
          <cell r="AA1446" t="str">
            <v>Московская область</v>
          </cell>
        </row>
        <row r="1447">
          <cell r="AA1447" t="str">
            <v>Московская область</v>
          </cell>
        </row>
        <row r="1448">
          <cell r="AA1448" t="str">
            <v>Московская область</v>
          </cell>
        </row>
        <row r="1449">
          <cell r="AA1449" t="str">
            <v>Московская область</v>
          </cell>
        </row>
        <row r="1450">
          <cell r="AA1450" t="str">
            <v>Московская область</v>
          </cell>
        </row>
        <row r="1451">
          <cell r="AA1451" t="str">
            <v>Московская область</v>
          </cell>
        </row>
        <row r="1452">
          <cell r="AA1452" t="str">
            <v>Московская область</v>
          </cell>
        </row>
        <row r="1453">
          <cell r="AA1453" t="str">
            <v>Московская область</v>
          </cell>
        </row>
        <row r="1454">
          <cell r="AA1454" t="str">
            <v>Московская область</v>
          </cell>
        </row>
        <row r="1455">
          <cell r="AA1455" t="str">
            <v>Московская область</v>
          </cell>
        </row>
        <row r="1456">
          <cell r="AA1456" t="str">
            <v>Московская область</v>
          </cell>
        </row>
        <row r="1457">
          <cell r="AA1457" t="str">
            <v>Московская область</v>
          </cell>
        </row>
        <row r="1458">
          <cell r="AA1458" t="str">
            <v>Московская область</v>
          </cell>
        </row>
        <row r="1459">
          <cell r="AA1459" t="str">
            <v>Московская область</v>
          </cell>
        </row>
        <row r="1460">
          <cell r="AA1460" t="str">
            <v>Московская область</v>
          </cell>
        </row>
        <row r="1461">
          <cell r="AA1461" t="str">
            <v>Московская область</v>
          </cell>
        </row>
        <row r="1462">
          <cell r="AA1462" t="str">
            <v>Московская область</v>
          </cell>
        </row>
        <row r="1463">
          <cell r="AA1463" t="str">
            <v>Московская область</v>
          </cell>
        </row>
        <row r="1464">
          <cell r="AA1464" t="str">
            <v>Московская область</v>
          </cell>
        </row>
        <row r="1465">
          <cell r="AA1465" t="str">
            <v>Московская область</v>
          </cell>
        </row>
        <row r="1466">
          <cell r="AA1466" t="str">
            <v>Московская область</v>
          </cell>
        </row>
        <row r="1467">
          <cell r="AA1467" t="str">
            <v>Московская область</v>
          </cell>
        </row>
        <row r="1468">
          <cell r="AA1468" t="str">
            <v>Московская область</v>
          </cell>
        </row>
        <row r="1469">
          <cell r="AA1469" t="str">
            <v>Московская область</v>
          </cell>
        </row>
        <row r="1470">
          <cell r="AA1470" t="str">
            <v>Московская область</v>
          </cell>
        </row>
        <row r="1471">
          <cell r="AA1471" t="str">
            <v>Московская область</v>
          </cell>
        </row>
        <row r="1472">
          <cell r="AA1472" t="str">
            <v>Московская область</v>
          </cell>
        </row>
        <row r="1473">
          <cell r="AA1473" t="str">
            <v>Московская область</v>
          </cell>
        </row>
        <row r="1474">
          <cell r="AA1474" t="str">
            <v>Московская область</v>
          </cell>
        </row>
        <row r="1475">
          <cell r="AA1475" t="str">
            <v>Московская область</v>
          </cell>
        </row>
        <row r="1476">
          <cell r="AA1476" t="str">
            <v>Московская область</v>
          </cell>
        </row>
        <row r="1477">
          <cell r="AA1477" t="str">
            <v>Московская область</v>
          </cell>
        </row>
        <row r="1478">
          <cell r="AA1478" t="str">
            <v>Московская область</v>
          </cell>
        </row>
        <row r="1479">
          <cell r="AA1479" t="str">
            <v>Московская область</v>
          </cell>
        </row>
        <row r="1480">
          <cell r="AA1480" t="str">
            <v>Московская область</v>
          </cell>
        </row>
        <row r="1481">
          <cell r="AA1481" t="str">
            <v>Московская область</v>
          </cell>
        </row>
        <row r="1482">
          <cell r="AA1482" t="str">
            <v>Московская область</v>
          </cell>
        </row>
        <row r="1483">
          <cell r="AA1483" t="str">
            <v>Московская область</v>
          </cell>
        </row>
        <row r="1484">
          <cell r="AA1484" t="str">
            <v>Московская область</v>
          </cell>
        </row>
        <row r="1485">
          <cell r="AA1485" t="str">
            <v>Московская область</v>
          </cell>
        </row>
        <row r="1486">
          <cell r="AA1486" t="str">
            <v>Московская область</v>
          </cell>
        </row>
        <row r="1487">
          <cell r="AA1487" t="str">
            <v>Московская область</v>
          </cell>
        </row>
        <row r="1488">
          <cell r="AA1488" t="str">
            <v>Московская область</v>
          </cell>
        </row>
        <row r="1489">
          <cell r="AA1489" t="str">
            <v>Московская область</v>
          </cell>
        </row>
        <row r="1490">
          <cell r="AA1490" t="str">
            <v>Московская область</v>
          </cell>
        </row>
        <row r="1491">
          <cell r="AA1491" t="str">
            <v>Московская область</v>
          </cell>
        </row>
        <row r="1492">
          <cell r="AA1492" t="str">
            <v>Московская область</v>
          </cell>
        </row>
        <row r="1493">
          <cell r="AA1493" t="str">
            <v>Московская область</v>
          </cell>
        </row>
        <row r="1494">
          <cell r="AA1494" t="str">
            <v>Московская область</v>
          </cell>
        </row>
        <row r="1495">
          <cell r="AA1495" t="str">
            <v>Московская область</v>
          </cell>
        </row>
        <row r="1496">
          <cell r="AA1496" t="str">
            <v>Московская область</v>
          </cell>
        </row>
        <row r="1497">
          <cell r="AA1497" t="str">
            <v>Московская область</v>
          </cell>
        </row>
        <row r="1498">
          <cell r="AA1498" t="str">
            <v>Московская область</v>
          </cell>
        </row>
        <row r="1499">
          <cell r="AA1499" t="str">
            <v>Московская область</v>
          </cell>
        </row>
        <row r="1500">
          <cell r="AA1500" t="str">
            <v>Московская область</v>
          </cell>
        </row>
        <row r="1501">
          <cell r="AA1501" t="str">
            <v>Московская область</v>
          </cell>
        </row>
        <row r="1502">
          <cell r="AA1502" t="str">
            <v>Московская область</v>
          </cell>
        </row>
        <row r="1503">
          <cell r="AA1503" t="str">
            <v>Московская область</v>
          </cell>
        </row>
        <row r="1504">
          <cell r="AA1504" t="str">
            <v>Московская область</v>
          </cell>
        </row>
        <row r="1505">
          <cell r="AA1505" t="str">
            <v>Московская область</v>
          </cell>
        </row>
        <row r="1506">
          <cell r="AA1506" t="str">
            <v>Московская область</v>
          </cell>
        </row>
        <row r="1507">
          <cell r="AA1507" t="str">
            <v>Московская область</v>
          </cell>
        </row>
        <row r="1508">
          <cell r="AA1508" t="str">
            <v>Московская область</v>
          </cell>
        </row>
        <row r="1509">
          <cell r="AA1509" t="str">
            <v>Московская область</v>
          </cell>
        </row>
        <row r="1510">
          <cell r="AA1510" t="str">
            <v>Московская область</v>
          </cell>
        </row>
        <row r="1511">
          <cell r="AA1511" t="str">
            <v>Московская область</v>
          </cell>
        </row>
        <row r="1512">
          <cell r="AA1512" t="str">
            <v>Московская область</v>
          </cell>
        </row>
        <row r="1513">
          <cell r="AA1513" t="str">
            <v>Московская область</v>
          </cell>
        </row>
        <row r="1514">
          <cell r="AA1514" t="str">
            <v>Московская область</v>
          </cell>
        </row>
        <row r="1515">
          <cell r="AA1515" t="str">
            <v>Московская область</v>
          </cell>
        </row>
        <row r="1516">
          <cell r="AA1516" t="str">
            <v>Московская область</v>
          </cell>
        </row>
        <row r="1517">
          <cell r="AA1517" t="str">
            <v>Московская область</v>
          </cell>
        </row>
        <row r="1518">
          <cell r="AA1518" t="str">
            <v>Московская область</v>
          </cell>
        </row>
        <row r="1519">
          <cell r="AA1519" t="str">
            <v>Московская область</v>
          </cell>
        </row>
        <row r="1520">
          <cell r="AA1520" t="str">
            <v>Московская область</v>
          </cell>
        </row>
        <row r="1521">
          <cell r="AA1521" t="str">
            <v>Московская область</v>
          </cell>
        </row>
        <row r="1522">
          <cell r="AA1522" t="str">
            <v>Московская область</v>
          </cell>
        </row>
        <row r="1523">
          <cell r="AA1523" t="str">
            <v>Московская область</v>
          </cell>
        </row>
        <row r="1524">
          <cell r="AA1524" t="str">
            <v>Московская область</v>
          </cell>
        </row>
        <row r="1525">
          <cell r="AA1525" t="str">
            <v>Московская область</v>
          </cell>
        </row>
        <row r="1526">
          <cell r="AA1526" t="str">
            <v>Московская область</v>
          </cell>
        </row>
        <row r="1527">
          <cell r="AA1527" t="str">
            <v>Московская область</v>
          </cell>
        </row>
        <row r="1528">
          <cell r="AA1528" t="str">
            <v>Московская область</v>
          </cell>
        </row>
        <row r="1529">
          <cell r="AA1529" t="str">
            <v>Московская область</v>
          </cell>
        </row>
        <row r="1530">
          <cell r="AA1530" t="str">
            <v>Московская область</v>
          </cell>
        </row>
        <row r="1531">
          <cell r="AA1531" t="str">
            <v>Московская область</v>
          </cell>
        </row>
        <row r="1532">
          <cell r="AA1532" t="str">
            <v>Московская область</v>
          </cell>
        </row>
        <row r="1533">
          <cell r="AA1533" t="str">
            <v>Московская область</v>
          </cell>
        </row>
        <row r="1534">
          <cell r="AA1534" t="str">
            <v>Мурманская область</v>
          </cell>
        </row>
        <row r="1535">
          <cell r="AA1535" t="str">
            <v>Мурманская область</v>
          </cell>
        </row>
        <row r="1536">
          <cell r="AA1536" t="str">
            <v>Мурманская область</v>
          </cell>
        </row>
        <row r="1537">
          <cell r="AA1537" t="str">
            <v>Мурманская область</v>
          </cell>
        </row>
        <row r="1538">
          <cell r="AA1538" t="str">
            <v>Мурманская область</v>
          </cell>
        </row>
        <row r="1539">
          <cell r="AA1539" t="str">
            <v>Мурманская область</v>
          </cell>
        </row>
        <row r="1540">
          <cell r="AA1540" t="str">
            <v>Мурманская область</v>
          </cell>
        </row>
        <row r="1541">
          <cell r="AA1541" t="str">
            <v>Мурманская область</v>
          </cell>
        </row>
        <row r="1542">
          <cell r="AA1542" t="str">
            <v>Мурманская область</v>
          </cell>
        </row>
        <row r="1543">
          <cell r="AA1543" t="str">
            <v>Мурманская область</v>
          </cell>
        </row>
        <row r="1544">
          <cell r="AA1544" t="str">
            <v>Мурманская область</v>
          </cell>
        </row>
        <row r="1545">
          <cell r="AA1545" t="str">
            <v>Мурманская область</v>
          </cell>
        </row>
        <row r="1546">
          <cell r="AA1546" t="str">
            <v>Мурманская область</v>
          </cell>
        </row>
        <row r="1547">
          <cell r="AA1547" t="str">
            <v>Мурманская область</v>
          </cell>
        </row>
        <row r="1548">
          <cell r="AA1548" t="str">
            <v>Мурманская область</v>
          </cell>
        </row>
        <row r="1549">
          <cell r="AA1549" t="str">
            <v>Мурманская область</v>
          </cell>
        </row>
        <row r="1550">
          <cell r="AA1550" t="str">
            <v>Мурманская область</v>
          </cell>
        </row>
        <row r="1551">
          <cell r="AA1551" t="str">
            <v>Ненецкий авт.округ</v>
          </cell>
        </row>
        <row r="1552">
          <cell r="AA1552" t="str">
            <v>Ненецкий авт.округ</v>
          </cell>
        </row>
        <row r="1553">
          <cell r="AA1553" t="str">
            <v>Ненецкий авт.округ</v>
          </cell>
        </row>
        <row r="1554">
          <cell r="AA1554" t="str">
            <v>Ненецкий авт.округ</v>
          </cell>
        </row>
        <row r="1555">
          <cell r="AA1555" t="str">
            <v>Ненецкий авт.округ</v>
          </cell>
        </row>
        <row r="1556">
          <cell r="AA1556" t="str">
            <v>Ненецкий авт.округ</v>
          </cell>
        </row>
        <row r="1557">
          <cell r="AA1557" t="str">
            <v>Ненецкий авт.округ</v>
          </cell>
        </row>
        <row r="1558">
          <cell r="AA1558" t="str">
            <v>Нижегородская область</v>
          </cell>
        </row>
        <row r="1559">
          <cell r="AA1559" t="str">
            <v>Нижегородская область</v>
          </cell>
        </row>
        <row r="1560">
          <cell r="AA1560" t="str">
            <v>Нижегородская область</v>
          </cell>
        </row>
        <row r="1561">
          <cell r="AA1561" t="str">
            <v>Нижегородская область</v>
          </cell>
        </row>
        <row r="1562">
          <cell r="AA1562" t="str">
            <v>Нижегородская область</v>
          </cell>
        </row>
        <row r="1563">
          <cell r="AA1563" t="str">
            <v>Нижегородская область</v>
          </cell>
        </row>
        <row r="1564">
          <cell r="AA1564" t="str">
            <v>Нижегородская область</v>
          </cell>
        </row>
        <row r="1565">
          <cell r="AA1565" t="str">
            <v>Нижегородская область</v>
          </cell>
        </row>
        <row r="1566">
          <cell r="AA1566" t="str">
            <v>Нижегородская область</v>
          </cell>
        </row>
        <row r="1567">
          <cell r="AA1567" t="str">
            <v>Нижегородская область</v>
          </cell>
        </row>
        <row r="1568">
          <cell r="AA1568" t="str">
            <v>Нижегородская область</v>
          </cell>
        </row>
        <row r="1569">
          <cell r="AA1569" t="str">
            <v>Нижегородская область</v>
          </cell>
        </row>
        <row r="1570">
          <cell r="AA1570" t="str">
            <v>Нижегородская область</v>
          </cell>
        </row>
        <row r="1571">
          <cell r="AA1571" t="str">
            <v>Нижегородская область</v>
          </cell>
        </row>
        <row r="1572">
          <cell r="AA1572" t="str">
            <v>Нижегородская область</v>
          </cell>
        </row>
        <row r="1573">
          <cell r="AA1573" t="str">
            <v>Нижегородская область</v>
          </cell>
        </row>
        <row r="1574">
          <cell r="AA1574" t="str">
            <v>Нижегородская область</v>
          </cell>
        </row>
        <row r="1575">
          <cell r="AA1575" t="str">
            <v>Нижегородская область</v>
          </cell>
        </row>
        <row r="1576">
          <cell r="AA1576" t="str">
            <v>Нижегородская область</v>
          </cell>
        </row>
        <row r="1577">
          <cell r="AA1577" t="str">
            <v>Нижегородская область</v>
          </cell>
        </row>
        <row r="1578">
          <cell r="AA1578" t="str">
            <v>Нижегородская область</v>
          </cell>
        </row>
        <row r="1579">
          <cell r="AA1579" t="str">
            <v>Нижегородская область</v>
          </cell>
        </row>
        <row r="1580">
          <cell r="AA1580" t="str">
            <v>Нижегородская область</v>
          </cell>
        </row>
        <row r="1581">
          <cell r="AA1581" t="str">
            <v>Нижегородская область</v>
          </cell>
        </row>
        <row r="1582">
          <cell r="AA1582" t="str">
            <v>Нижегородская область</v>
          </cell>
        </row>
        <row r="1583">
          <cell r="AA1583" t="str">
            <v>Нижегородская область</v>
          </cell>
        </row>
        <row r="1584">
          <cell r="AA1584" t="str">
            <v>Нижегородская область</v>
          </cell>
        </row>
        <row r="1585">
          <cell r="AA1585" t="str">
            <v>Нижегородская область</v>
          </cell>
        </row>
        <row r="1586">
          <cell r="AA1586" t="str">
            <v>Нижегородская область</v>
          </cell>
        </row>
        <row r="1587">
          <cell r="AA1587" t="str">
            <v>Нижегородская область</v>
          </cell>
        </row>
        <row r="1588">
          <cell r="AA1588" t="str">
            <v>Нижегородская область</v>
          </cell>
        </row>
        <row r="1589">
          <cell r="AA1589" t="str">
            <v>Нижегородская область</v>
          </cell>
        </row>
        <row r="1590">
          <cell r="AA1590" t="str">
            <v>Нижегородская область</v>
          </cell>
        </row>
        <row r="1591">
          <cell r="AA1591" t="str">
            <v>Нижегородская область</v>
          </cell>
        </row>
        <row r="1592">
          <cell r="AA1592" t="str">
            <v>Нижегородская область</v>
          </cell>
        </row>
        <row r="1593">
          <cell r="AA1593" t="str">
            <v>Нижегородская область</v>
          </cell>
        </row>
        <row r="1594">
          <cell r="AA1594" t="str">
            <v>Нижегородская область</v>
          </cell>
        </row>
        <row r="1595">
          <cell r="AA1595" t="str">
            <v>Нижегородская область</v>
          </cell>
        </row>
        <row r="1596">
          <cell r="AA1596" t="str">
            <v>Нижегородская область</v>
          </cell>
        </row>
        <row r="1597">
          <cell r="AA1597" t="str">
            <v>Нижегородская область</v>
          </cell>
        </row>
        <row r="1598">
          <cell r="AA1598" t="str">
            <v>Нижегородская область</v>
          </cell>
        </row>
        <row r="1599">
          <cell r="AA1599" t="str">
            <v>Нижегородская область</v>
          </cell>
        </row>
        <row r="1600">
          <cell r="AA1600" t="str">
            <v>Нижегородская область</v>
          </cell>
        </row>
        <row r="1601">
          <cell r="AA1601" t="str">
            <v>Нижегородская область</v>
          </cell>
        </row>
        <row r="1602">
          <cell r="AA1602" t="str">
            <v>Нижегородская область</v>
          </cell>
        </row>
        <row r="1603">
          <cell r="AA1603" t="str">
            <v>Нижегородская область</v>
          </cell>
        </row>
        <row r="1604">
          <cell r="AA1604" t="str">
            <v>Нижегородская область</v>
          </cell>
        </row>
        <row r="1605">
          <cell r="AA1605" t="str">
            <v>Нижегородская область</v>
          </cell>
        </row>
        <row r="1606">
          <cell r="AA1606" t="str">
            <v>Нижегородская область</v>
          </cell>
        </row>
        <row r="1607">
          <cell r="AA1607" t="str">
            <v>Нижегородская область</v>
          </cell>
        </row>
        <row r="1608">
          <cell r="AA1608" t="str">
            <v>Нижегородская область</v>
          </cell>
        </row>
        <row r="1609">
          <cell r="AA1609" t="str">
            <v>Нижегородская область</v>
          </cell>
        </row>
        <row r="1610">
          <cell r="AA1610" t="str">
            <v>Нижегородская область</v>
          </cell>
        </row>
        <row r="1611">
          <cell r="AA1611" t="str">
            <v>Нижегородская область</v>
          </cell>
        </row>
        <row r="1612">
          <cell r="AA1612" t="str">
            <v>Нижегородская область</v>
          </cell>
        </row>
        <row r="1613">
          <cell r="AA1613" t="str">
            <v>Нижегородская область</v>
          </cell>
        </row>
        <row r="1614">
          <cell r="AA1614" t="str">
            <v>Нижегородская область</v>
          </cell>
        </row>
        <row r="1615">
          <cell r="AA1615" t="str">
            <v>Нижегородская область</v>
          </cell>
        </row>
        <row r="1616">
          <cell r="AA1616" t="str">
            <v>Нижегородская область</v>
          </cell>
        </row>
        <row r="1617">
          <cell r="AA1617" t="str">
            <v>Нижегородская область</v>
          </cell>
        </row>
        <row r="1618">
          <cell r="AA1618" t="str">
            <v>Нижегородская область</v>
          </cell>
        </row>
        <row r="1619">
          <cell r="AA1619" t="str">
            <v>Нижегородская область</v>
          </cell>
        </row>
        <row r="1620">
          <cell r="AA1620" t="str">
            <v>Нижегородская область</v>
          </cell>
        </row>
        <row r="1621">
          <cell r="AA1621" t="str">
            <v>Нижегородская область</v>
          </cell>
        </row>
        <row r="1622">
          <cell r="AA1622" t="str">
            <v>Нижегородская область</v>
          </cell>
        </row>
        <row r="1623">
          <cell r="AA1623" t="str">
            <v>Нижегородская область</v>
          </cell>
        </row>
        <row r="1624">
          <cell r="AA1624" t="str">
            <v>Нижегородская область</v>
          </cell>
        </row>
        <row r="1625">
          <cell r="AA1625" t="str">
            <v>Нижегородская область</v>
          </cell>
        </row>
        <row r="1626">
          <cell r="AA1626" t="str">
            <v>Нижегородская область</v>
          </cell>
        </row>
        <row r="1627">
          <cell r="AA1627" t="str">
            <v>Нижегородская область</v>
          </cell>
        </row>
        <row r="1628">
          <cell r="AA1628" t="str">
            <v>Нижегородская область</v>
          </cell>
        </row>
        <row r="1629">
          <cell r="AA1629" t="str">
            <v>Нижегородская область</v>
          </cell>
        </row>
        <row r="1630">
          <cell r="AA1630" t="str">
            <v>Нижегородская область</v>
          </cell>
        </row>
        <row r="1631">
          <cell r="AA1631" t="str">
            <v>Нижегородская область</v>
          </cell>
        </row>
        <row r="1632">
          <cell r="AA1632" t="str">
            <v>Нижегородская область</v>
          </cell>
        </row>
        <row r="1633">
          <cell r="AA1633" t="str">
            <v>Нижегородская область</v>
          </cell>
        </row>
        <row r="1634">
          <cell r="AA1634" t="str">
            <v>Нижегородская область</v>
          </cell>
        </row>
        <row r="1635">
          <cell r="AA1635" t="str">
            <v>Нижегородская область</v>
          </cell>
        </row>
        <row r="1636">
          <cell r="AA1636" t="str">
            <v>Нижегородская область</v>
          </cell>
        </row>
        <row r="1637">
          <cell r="AA1637" t="str">
            <v>Нижегородская область</v>
          </cell>
        </row>
        <row r="1638">
          <cell r="AA1638" t="str">
            <v>Нижегородская область</v>
          </cell>
        </row>
        <row r="1639">
          <cell r="AA1639" t="str">
            <v>Нижегородская область</v>
          </cell>
        </row>
        <row r="1640">
          <cell r="AA1640" t="str">
            <v>Нижегородская область</v>
          </cell>
        </row>
        <row r="1641">
          <cell r="AA1641" t="str">
            <v>Нижегородская область</v>
          </cell>
        </row>
        <row r="1642">
          <cell r="AA1642" t="str">
            <v>Нижегородская область</v>
          </cell>
        </row>
        <row r="1643">
          <cell r="AA1643" t="str">
            <v>Нижегородская область</v>
          </cell>
        </row>
        <row r="1644">
          <cell r="AA1644" t="str">
            <v>Нижегородская область</v>
          </cell>
        </row>
        <row r="1645">
          <cell r="AA1645" t="str">
            <v>Нижегородская область</v>
          </cell>
        </row>
        <row r="1646">
          <cell r="AA1646" t="str">
            <v>Нижегородская область</v>
          </cell>
        </row>
        <row r="1647">
          <cell r="AA1647" t="str">
            <v>Новгородская область</v>
          </cell>
        </row>
        <row r="1648">
          <cell r="AA1648" t="str">
            <v>Новгородская область</v>
          </cell>
        </row>
        <row r="1649">
          <cell r="AA1649" t="str">
            <v>Новгородская область</v>
          </cell>
        </row>
        <row r="1650">
          <cell r="AA1650" t="str">
            <v>Новгородская область</v>
          </cell>
        </row>
        <row r="1651">
          <cell r="AA1651" t="str">
            <v>Новгородская область</v>
          </cell>
        </row>
        <row r="1652">
          <cell r="AA1652" t="str">
            <v>Новгородская область</v>
          </cell>
        </row>
        <row r="1653">
          <cell r="AA1653" t="str">
            <v>Новгородская область</v>
          </cell>
        </row>
        <row r="1654">
          <cell r="AA1654" t="str">
            <v>Новгородская область</v>
          </cell>
        </row>
        <row r="1655">
          <cell r="AA1655" t="str">
            <v>Новгородская область</v>
          </cell>
        </row>
        <row r="1656">
          <cell r="AA1656" t="str">
            <v>Новгородская область</v>
          </cell>
        </row>
        <row r="1657">
          <cell r="AA1657" t="str">
            <v>Новгородская область</v>
          </cell>
        </row>
        <row r="1658">
          <cell r="AA1658" t="str">
            <v>Новгородская область</v>
          </cell>
        </row>
        <row r="1659">
          <cell r="AA1659" t="str">
            <v>Новгородская область</v>
          </cell>
        </row>
        <row r="1660">
          <cell r="AA1660" t="str">
            <v>Новгородская область</v>
          </cell>
        </row>
        <row r="1661">
          <cell r="AA1661" t="str">
            <v>Новгородская область</v>
          </cell>
        </row>
        <row r="1662">
          <cell r="AA1662" t="str">
            <v>Новгородская область</v>
          </cell>
        </row>
        <row r="1663">
          <cell r="AA1663" t="str">
            <v>Новгородская область</v>
          </cell>
        </row>
        <row r="1664">
          <cell r="AA1664" t="str">
            <v>Новгородская область</v>
          </cell>
        </row>
        <row r="1665">
          <cell r="AA1665" t="str">
            <v>Новгородская область</v>
          </cell>
        </row>
        <row r="1666">
          <cell r="AA1666" t="str">
            <v>Новгородская область</v>
          </cell>
        </row>
        <row r="1667">
          <cell r="AA1667" t="str">
            <v>Новгородская область</v>
          </cell>
        </row>
        <row r="1668">
          <cell r="AA1668" t="str">
            <v>Новгородская область</v>
          </cell>
        </row>
        <row r="1669">
          <cell r="AA1669" t="str">
            <v>Новосибирская область</v>
          </cell>
        </row>
        <row r="1670">
          <cell r="AA1670" t="str">
            <v>Новосибирская область</v>
          </cell>
        </row>
        <row r="1671">
          <cell r="AA1671" t="str">
            <v>Новосибирская область</v>
          </cell>
        </row>
        <row r="1672">
          <cell r="AA1672" t="str">
            <v>Новосибирская область</v>
          </cell>
        </row>
        <row r="1673">
          <cell r="AA1673" t="str">
            <v>Новосибирская область</v>
          </cell>
        </row>
        <row r="1674">
          <cell r="AA1674" t="str">
            <v>Новосибирская область</v>
          </cell>
        </row>
        <row r="1675">
          <cell r="AA1675" t="str">
            <v>Новосибирская область</v>
          </cell>
        </row>
        <row r="1676">
          <cell r="AA1676" t="str">
            <v>Новосибирская область</v>
          </cell>
        </row>
        <row r="1677">
          <cell r="AA1677" t="str">
            <v>Новосибирская область</v>
          </cell>
        </row>
        <row r="1678">
          <cell r="AA1678" t="str">
            <v>Новосибирская область</v>
          </cell>
        </row>
        <row r="1679">
          <cell r="AA1679" t="str">
            <v>Новосибирская область</v>
          </cell>
        </row>
        <row r="1680">
          <cell r="AA1680" t="str">
            <v>Новосибирская область</v>
          </cell>
        </row>
        <row r="1681">
          <cell r="AA1681" t="str">
            <v>Новосибирская область</v>
          </cell>
        </row>
        <row r="1682">
          <cell r="AA1682" t="str">
            <v>Новосибирская область</v>
          </cell>
        </row>
        <row r="1683">
          <cell r="AA1683" t="str">
            <v>Новосибирская область</v>
          </cell>
        </row>
        <row r="1684">
          <cell r="AA1684" t="str">
            <v>Новосибирская область</v>
          </cell>
        </row>
        <row r="1685">
          <cell r="AA1685" t="str">
            <v>Новосибирская область</v>
          </cell>
        </row>
        <row r="1686">
          <cell r="AA1686" t="str">
            <v>Новосибирская область</v>
          </cell>
        </row>
        <row r="1687">
          <cell r="AA1687" t="str">
            <v>Новосибирская область</v>
          </cell>
        </row>
        <row r="1688">
          <cell r="AA1688" t="str">
            <v>Новосибирская область</v>
          </cell>
        </row>
        <row r="1689">
          <cell r="AA1689" t="str">
            <v>Новосибирская область</v>
          </cell>
        </row>
        <row r="1690">
          <cell r="AA1690" t="str">
            <v>Новосибирская область</v>
          </cell>
        </row>
        <row r="1691">
          <cell r="AA1691" t="str">
            <v>Новосибирская область</v>
          </cell>
        </row>
        <row r="1692">
          <cell r="AA1692" t="str">
            <v>Новосибирская область</v>
          </cell>
        </row>
        <row r="1693">
          <cell r="AA1693" t="str">
            <v>Новосибирская область</v>
          </cell>
        </row>
        <row r="1694">
          <cell r="AA1694" t="str">
            <v>Новосибирская область</v>
          </cell>
        </row>
        <row r="1695">
          <cell r="AA1695" t="str">
            <v>Новосибирская область</v>
          </cell>
        </row>
        <row r="1696">
          <cell r="AA1696" t="str">
            <v>Новосибирская область</v>
          </cell>
        </row>
        <row r="1697">
          <cell r="AA1697" t="str">
            <v>Новосибирская область</v>
          </cell>
        </row>
        <row r="1698">
          <cell r="AA1698" t="str">
            <v>Новосибирская область</v>
          </cell>
        </row>
        <row r="1699">
          <cell r="AA1699" t="str">
            <v>Новосибирская область</v>
          </cell>
        </row>
        <row r="1700">
          <cell r="AA1700" t="str">
            <v>Новосибирская область</v>
          </cell>
        </row>
        <row r="1701">
          <cell r="AA1701" t="str">
            <v>Новосибирская область</v>
          </cell>
        </row>
        <row r="1702">
          <cell r="AA1702" t="str">
            <v>Новосибирская область</v>
          </cell>
        </row>
        <row r="1703">
          <cell r="AA1703" t="str">
            <v>Новосибирская область</v>
          </cell>
        </row>
        <row r="1704">
          <cell r="AA1704" t="str">
            <v>Новосибирская область</v>
          </cell>
        </row>
        <row r="1705">
          <cell r="AA1705" t="str">
            <v>Новосибирская область</v>
          </cell>
        </row>
        <row r="1706">
          <cell r="AA1706" t="str">
            <v>Новосибирская область</v>
          </cell>
        </row>
        <row r="1707">
          <cell r="AA1707" t="str">
            <v>Новосибирская область</v>
          </cell>
        </row>
        <row r="1708">
          <cell r="AA1708" t="str">
            <v>Новосибирская область</v>
          </cell>
        </row>
        <row r="1709">
          <cell r="AA1709" t="str">
            <v>Новосибирская область</v>
          </cell>
        </row>
        <row r="1710">
          <cell r="AA1710" t="str">
            <v>Новосибирская область</v>
          </cell>
        </row>
        <row r="1711">
          <cell r="AA1711" t="str">
            <v>Новосибирская область</v>
          </cell>
        </row>
        <row r="1712">
          <cell r="AA1712" t="str">
            <v>Новосибирская область</v>
          </cell>
        </row>
        <row r="1713">
          <cell r="AA1713" t="str">
            <v>Новосибирская область</v>
          </cell>
        </row>
        <row r="1714">
          <cell r="AA1714" t="str">
            <v>Новосибирская область</v>
          </cell>
        </row>
        <row r="1715">
          <cell r="AA1715" t="str">
            <v>Новосибирская область</v>
          </cell>
        </row>
        <row r="1716">
          <cell r="AA1716" t="str">
            <v>Новосибирская область</v>
          </cell>
        </row>
        <row r="1717">
          <cell r="AA1717" t="str">
            <v>Новосибирская область</v>
          </cell>
        </row>
        <row r="1718">
          <cell r="AA1718" t="str">
            <v>Новосибирская область</v>
          </cell>
        </row>
        <row r="1719">
          <cell r="AA1719" t="str">
            <v>Новосибирская область</v>
          </cell>
        </row>
        <row r="1720">
          <cell r="AA1720" t="str">
            <v>Новосибирская область</v>
          </cell>
        </row>
        <row r="1721">
          <cell r="AA1721" t="str">
            <v>Новосибирская область</v>
          </cell>
        </row>
        <row r="1722">
          <cell r="AA1722" t="str">
            <v>Новосибирская область</v>
          </cell>
        </row>
        <row r="1723">
          <cell r="AA1723" t="str">
            <v>Новосибирская область</v>
          </cell>
        </row>
        <row r="1724">
          <cell r="AA1724" t="str">
            <v>Новосибирская область</v>
          </cell>
        </row>
        <row r="1725">
          <cell r="AA1725" t="str">
            <v>Новосибирская область</v>
          </cell>
        </row>
        <row r="1726">
          <cell r="AA1726" t="str">
            <v>Новосибирская область</v>
          </cell>
        </row>
        <row r="1727">
          <cell r="AA1727" t="str">
            <v>Новосибирская область</v>
          </cell>
        </row>
        <row r="1728">
          <cell r="AA1728" t="str">
            <v>Новосибирская область</v>
          </cell>
        </row>
        <row r="1729">
          <cell r="AA1729" t="str">
            <v>Новосибирская область</v>
          </cell>
        </row>
        <row r="1730">
          <cell r="AA1730" t="str">
            <v>Новосибирская область</v>
          </cell>
        </row>
        <row r="1731">
          <cell r="AA1731" t="str">
            <v>Омская область</v>
          </cell>
        </row>
        <row r="1732">
          <cell r="AA1732" t="str">
            <v>Омская область</v>
          </cell>
        </row>
        <row r="1733">
          <cell r="AA1733" t="str">
            <v>Омская область</v>
          </cell>
        </row>
        <row r="1734">
          <cell r="AA1734" t="str">
            <v>Омская область</v>
          </cell>
        </row>
        <row r="1735">
          <cell r="AA1735" t="str">
            <v>Омская область</v>
          </cell>
        </row>
        <row r="1736">
          <cell r="AA1736" t="str">
            <v>Омская область</v>
          </cell>
        </row>
        <row r="1737">
          <cell r="AA1737" t="str">
            <v>Омская область</v>
          </cell>
        </row>
        <row r="1738">
          <cell r="AA1738" t="str">
            <v>Омская область</v>
          </cell>
        </row>
        <row r="1739">
          <cell r="AA1739" t="str">
            <v>Омская область</v>
          </cell>
        </row>
        <row r="1740">
          <cell r="AA1740" t="str">
            <v>Омская область</v>
          </cell>
        </row>
        <row r="1741">
          <cell r="AA1741" t="str">
            <v>Омская область</v>
          </cell>
        </row>
        <row r="1742">
          <cell r="AA1742" t="str">
            <v>Омская область</v>
          </cell>
        </row>
        <row r="1743">
          <cell r="AA1743" t="str">
            <v>Омская область</v>
          </cell>
        </row>
        <row r="1744">
          <cell r="AA1744" t="str">
            <v>Омская область</v>
          </cell>
        </row>
        <row r="1745">
          <cell r="AA1745" t="str">
            <v>Омская область</v>
          </cell>
        </row>
        <row r="1746">
          <cell r="AA1746" t="str">
            <v>Омская область</v>
          </cell>
        </row>
        <row r="1747">
          <cell r="AA1747" t="str">
            <v>Омская область</v>
          </cell>
        </row>
        <row r="1748">
          <cell r="AA1748" t="str">
            <v>Омская область</v>
          </cell>
        </row>
        <row r="1749">
          <cell r="AA1749" t="str">
            <v>Омская область</v>
          </cell>
        </row>
        <row r="1750">
          <cell r="AA1750" t="str">
            <v>Омская область</v>
          </cell>
        </row>
        <row r="1751">
          <cell r="AA1751" t="str">
            <v>Омская область</v>
          </cell>
        </row>
        <row r="1752">
          <cell r="AA1752" t="str">
            <v>Омская область</v>
          </cell>
        </row>
        <row r="1753">
          <cell r="AA1753" t="str">
            <v>Омская область</v>
          </cell>
        </row>
        <row r="1754">
          <cell r="AA1754" t="str">
            <v>Омская область</v>
          </cell>
        </row>
        <row r="1755">
          <cell r="AA1755" t="str">
            <v>Омская область</v>
          </cell>
        </row>
        <row r="1756">
          <cell r="AA1756" t="str">
            <v>Омская область</v>
          </cell>
        </row>
        <row r="1757">
          <cell r="AA1757" t="str">
            <v>Омская область</v>
          </cell>
        </row>
        <row r="1758">
          <cell r="AA1758" t="str">
            <v>Омская область</v>
          </cell>
        </row>
        <row r="1759">
          <cell r="AA1759" t="str">
            <v>Омская область</v>
          </cell>
        </row>
        <row r="1760">
          <cell r="AA1760" t="str">
            <v>Омская область</v>
          </cell>
        </row>
        <row r="1761">
          <cell r="AA1761" t="str">
            <v>Омская область</v>
          </cell>
        </row>
        <row r="1762">
          <cell r="AA1762" t="str">
            <v>Омская область</v>
          </cell>
        </row>
        <row r="1763">
          <cell r="AA1763" t="str">
            <v>Омская область</v>
          </cell>
        </row>
        <row r="1764">
          <cell r="AA1764" t="str">
            <v>Омская область</v>
          </cell>
        </row>
        <row r="1765">
          <cell r="AA1765" t="str">
            <v>Омская область</v>
          </cell>
        </row>
        <row r="1766">
          <cell r="AA1766" t="str">
            <v>Омская область</v>
          </cell>
        </row>
        <row r="1767">
          <cell r="AA1767" t="str">
            <v>Омская область</v>
          </cell>
        </row>
        <row r="1768">
          <cell r="AA1768" t="str">
            <v>Омская область</v>
          </cell>
        </row>
        <row r="1769">
          <cell r="AA1769" t="str">
            <v>Омская область</v>
          </cell>
        </row>
        <row r="1770">
          <cell r="AA1770" t="str">
            <v>Омская область</v>
          </cell>
        </row>
        <row r="1771">
          <cell r="AA1771" t="str">
            <v>Омская область</v>
          </cell>
        </row>
        <row r="1772">
          <cell r="AA1772" t="str">
            <v>Омская область</v>
          </cell>
        </row>
        <row r="1773">
          <cell r="AA1773" t="str">
            <v>Омская область</v>
          </cell>
        </row>
        <row r="1774">
          <cell r="AA1774" t="str">
            <v>Омская область</v>
          </cell>
        </row>
        <row r="1775">
          <cell r="AA1775" t="str">
            <v>Омская область</v>
          </cell>
        </row>
        <row r="1776">
          <cell r="AA1776" t="str">
            <v>Омская область</v>
          </cell>
        </row>
        <row r="1777">
          <cell r="AA1777" t="str">
            <v>Омская область</v>
          </cell>
        </row>
        <row r="1778">
          <cell r="AA1778" t="str">
            <v>Омская область</v>
          </cell>
        </row>
        <row r="1779">
          <cell r="AA1779" t="str">
            <v>Омская область</v>
          </cell>
        </row>
        <row r="1780">
          <cell r="AA1780" t="str">
            <v>Омская область</v>
          </cell>
        </row>
        <row r="1781">
          <cell r="AA1781" t="str">
            <v>Омская область</v>
          </cell>
        </row>
        <row r="1782">
          <cell r="AA1782" t="str">
            <v>Омская область</v>
          </cell>
        </row>
        <row r="1783">
          <cell r="AA1783" t="str">
            <v>Омская область</v>
          </cell>
        </row>
        <row r="1784">
          <cell r="AA1784" t="str">
            <v>Омская область</v>
          </cell>
        </row>
        <row r="1785">
          <cell r="AA1785" t="str">
            <v>Омская область</v>
          </cell>
        </row>
        <row r="1786">
          <cell r="AA1786" t="str">
            <v>Омская область</v>
          </cell>
        </row>
        <row r="1787">
          <cell r="AA1787" t="str">
            <v>Омская область</v>
          </cell>
        </row>
        <row r="1788">
          <cell r="AA1788" t="str">
            <v>Омская область</v>
          </cell>
        </row>
        <row r="1789">
          <cell r="AA1789" t="str">
            <v>Омская область</v>
          </cell>
        </row>
        <row r="1790">
          <cell r="AA1790" t="str">
            <v>Омская область</v>
          </cell>
        </row>
        <row r="1791">
          <cell r="AA1791" t="str">
            <v>Омская область</v>
          </cell>
        </row>
        <row r="1792">
          <cell r="AA1792" t="str">
            <v>Омская область</v>
          </cell>
        </row>
        <row r="1793">
          <cell r="AA1793" t="str">
            <v>Омская область</v>
          </cell>
        </row>
        <row r="1794">
          <cell r="AA1794" t="str">
            <v>Омская область</v>
          </cell>
        </row>
        <row r="1795">
          <cell r="AA1795" t="str">
            <v>Омская область</v>
          </cell>
        </row>
        <row r="1796">
          <cell r="AA1796" t="str">
            <v>Оренбургская область</v>
          </cell>
        </row>
        <row r="1797">
          <cell r="AA1797" t="str">
            <v>Оренбургская область</v>
          </cell>
        </row>
        <row r="1798">
          <cell r="AA1798" t="str">
            <v>Оренбургская область</v>
          </cell>
        </row>
        <row r="1799">
          <cell r="AA1799" t="str">
            <v>Оренбургская область</v>
          </cell>
        </row>
        <row r="1800">
          <cell r="AA1800" t="str">
            <v>Оренбургская область</v>
          </cell>
        </row>
        <row r="1801">
          <cell r="AA1801" t="str">
            <v>Оренбургская область</v>
          </cell>
        </row>
        <row r="1802">
          <cell r="AA1802" t="str">
            <v>Оренбургская область</v>
          </cell>
        </row>
        <row r="1803">
          <cell r="AA1803" t="str">
            <v>Оренбургская область</v>
          </cell>
        </row>
        <row r="1804">
          <cell r="AA1804" t="str">
            <v>Оренбургская область</v>
          </cell>
        </row>
        <row r="1805">
          <cell r="AA1805" t="str">
            <v>Оренбургская область</v>
          </cell>
        </row>
        <row r="1806">
          <cell r="AA1806" t="str">
            <v>Оренбургская область</v>
          </cell>
        </row>
        <row r="1807">
          <cell r="AA1807" t="str">
            <v>Оренбургская область</v>
          </cell>
        </row>
        <row r="1808">
          <cell r="AA1808" t="str">
            <v>Оренбургская область</v>
          </cell>
        </row>
        <row r="1809">
          <cell r="AA1809" t="str">
            <v>Оренбургская область</v>
          </cell>
        </row>
        <row r="1810">
          <cell r="AA1810" t="str">
            <v>Оренбургская область</v>
          </cell>
        </row>
        <row r="1811">
          <cell r="AA1811" t="str">
            <v>Оренбургская область</v>
          </cell>
        </row>
        <row r="1812">
          <cell r="AA1812" t="str">
            <v>Оренбургская область</v>
          </cell>
        </row>
        <row r="1813">
          <cell r="AA1813" t="str">
            <v>Оренбургская область</v>
          </cell>
        </row>
        <row r="1814">
          <cell r="AA1814" t="str">
            <v>Оренбургская область</v>
          </cell>
        </row>
        <row r="1815">
          <cell r="AA1815" t="str">
            <v>Оренбургская область</v>
          </cell>
        </row>
        <row r="1816">
          <cell r="AA1816" t="str">
            <v>Оренбургская область</v>
          </cell>
        </row>
        <row r="1817">
          <cell r="AA1817" t="str">
            <v>Оренбургская область</v>
          </cell>
        </row>
        <row r="1818">
          <cell r="AA1818" t="str">
            <v>Оренбургская область</v>
          </cell>
        </row>
        <row r="1819">
          <cell r="AA1819" t="str">
            <v>Оренбургская область</v>
          </cell>
        </row>
        <row r="1820">
          <cell r="AA1820" t="str">
            <v>Оренбургская область</v>
          </cell>
        </row>
        <row r="1821">
          <cell r="AA1821" t="str">
            <v>Оренбургская область</v>
          </cell>
        </row>
        <row r="1822">
          <cell r="AA1822" t="str">
            <v>Оренбургская область</v>
          </cell>
        </row>
        <row r="1823">
          <cell r="AA1823" t="str">
            <v>Оренбургская область</v>
          </cell>
        </row>
        <row r="1824">
          <cell r="AA1824" t="str">
            <v>Оренбургская область</v>
          </cell>
        </row>
        <row r="1825">
          <cell r="AA1825" t="str">
            <v>Оренбургская область</v>
          </cell>
        </row>
        <row r="1826">
          <cell r="AA1826" t="str">
            <v>Оренбургская область</v>
          </cell>
        </row>
        <row r="1827">
          <cell r="AA1827" t="str">
            <v>Оренбургская область</v>
          </cell>
        </row>
        <row r="1828">
          <cell r="AA1828" t="str">
            <v>Оренбургская область</v>
          </cell>
        </row>
        <row r="1829">
          <cell r="AA1829" t="str">
            <v>Оренбургская область</v>
          </cell>
        </row>
        <row r="1830">
          <cell r="AA1830" t="str">
            <v>Оренбургская область</v>
          </cell>
        </row>
        <row r="1831">
          <cell r="AA1831" t="str">
            <v>Оренбургская область</v>
          </cell>
        </row>
        <row r="1832">
          <cell r="AA1832" t="str">
            <v>Оренбургская область</v>
          </cell>
        </row>
        <row r="1833">
          <cell r="AA1833" t="str">
            <v>Оренбургская область</v>
          </cell>
        </row>
        <row r="1834">
          <cell r="AA1834" t="str">
            <v>Оренбургская область</v>
          </cell>
        </row>
        <row r="1835">
          <cell r="AA1835" t="str">
            <v>Оренбургская область</v>
          </cell>
        </row>
        <row r="1836">
          <cell r="AA1836" t="str">
            <v>Оренбургская область</v>
          </cell>
        </row>
        <row r="1837">
          <cell r="AA1837" t="str">
            <v>Оренбургская область</v>
          </cell>
        </row>
        <row r="1838">
          <cell r="AA1838" t="str">
            <v>Оренбургская область</v>
          </cell>
        </row>
        <row r="1839">
          <cell r="AA1839" t="str">
            <v>Оренбургская область</v>
          </cell>
        </row>
        <row r="1840">
          <cell r="AA1840" t="str">
            <v>Оренбургская область</v>
          </cell>
        </row>
        <row r="1841">
          <cell r="AA1841" t="str">
            <v>Оренбургская область</v>
          </cell>
        </row>
        <row r="1842">
          <cell r="AA1842" t="str">
            <v>Оренбургская область</v>
          </cell>
        </row>
        <row r="1843">
          <cell r="AA1843" t="str">
            <v>Оренбургская область</v>
          </cell>
        </row>
        <row r="1844">
          <cell r="AA1844" t="str">
            <v>Оренбургская область</v>
          </cell>
        </row>
        <row r="1845">
          <cell r="AA1845" t="str">
            <v>Оренбургская область</v>
          </cell>
        </row>
        <row r="1846">
          <cell r="AA1846" t="str">
            <v>Оренбургская область</v>
          </cell>
        </row>
        <row r="1847">
          <cell r="AA1847" t="str">
            <v>Оренбургская область</v>
          </cell>
        </row>
        <row r="1848">
          <cell r="AA1848" t="str">
            <v>Оренбургская область</v>
          </cell>
        </row>
        <row r="1849">
          <cell r="AA1849" t="str">
            <v>Оренбургская область</v>
          </cell>
        </row>
        <row r="1850">
          <cell r="AA1850" t="str">
            <v>Орловская область</v>
          </cell>
        </row>
        <row r="1851">
          <cell r="AA1851" t="str">
            <v>Орловская область</v>
          </cell>
        </row>
        <row r="1852">
          <cell r="AA1852" t="str">
            <v>Орловская область</v>
          </cell>
        </row>
        <row r="1853">
          <cell r="AA1853" t="str">
            <v>Орловская область</v>
          </cell>
        </row>
        <row r="1854">
          <cell r="AA1854" t="str">
            <v>Орловская область</v>
          </cell>
        </row>
        <row r="1855">
          <cell r="AA1855" t="str">
            <v>Орловская область</v>
          </cell>
        </row>
        <row r="1856">
          <cell r="AA1856" t="str">
            <v>Орловская область</v>
          </cell>
        </row>
        <row r="1857">
          <cell r="AA1857" t="str">
            <v>Орловская область</v>
          </cell>
        </row>
        <row r="1858">
          <cell r="AA1858" t="str">
            <v>Орловская область</v>
          </cell>
        </row>
        <row r="1859">
          <cell r="AA1859" t="str">
            <v>Орловская область</v>
          </cell>
        </row>
        <row r="1860">
          <cell r="AA1860" t="str">
            <v>Орловская область</v>
          </cell>
        </row>
        <row r="1861">
          <cell r="AA1861" t="str">
            <v>Орловская область</v>
          </cell>
        </row>
        <row r="1862">
          <cell r="AA1862" t="str">
            <v>Орловская область</v>
          </cell>
        </row>
        <row r="1863">
          <cell r="AA1863" t="str">
            <v>Орловская область</v>
          </cell>
        </row>
        <row r="1864">
          <cell r="AA1864" t="str">
            <v>Орловская область</v>
          </cell>
        </row>
        <row r="1865">
          <cell r="AA1865" t="str">
            <v>Орловская область</v>
          </cell>
        </row>
        <row r="1866">
          <cell r="AA1866" t="str">
            <v>Орловская область</v>
          </cell>
        </row>
        <row r="1867">
          <cell r="AA1867" t="str">
            <v>Орловская область</v>
          </cell>
        </row>
        <row r="1868">
          <cell r="AA1868" t="str">
            <v>Орловская область</v>
          </cell>
        </row>
        <row r="1869">
          <cell r="AA1869" t="str">
            <v>Орловская область</v>
          </cell>
        </row>
        <row r="1870">
          <cell r="AA1870" t="str">
            <v>Орловская область</v>
          </cell>
        </row>
        <row r="1871">
          <cell r="AA1871" t="str">
            <v>Орловская область</v>
          </cell>
        </row>
        <row r="1872">
          <cell r="AA1872" t="str">
            <v>Орловская область</v>
          </cell>
        </row>
        <row r="1873">
          <cell r="AA1873" t="str">
            <v>Орловская область</v>
          </cell>
        </row>
        <row r="1874">
          <cell r="AA1874" t="str">
            <v>Орловская область</v>
          </cell>
        </row>
        <row r="1875">
          <cell r="AA1875" t="str">
            <v>Орловская область</v>
          </cell>
        </row>
        <row r="1876">
          <cell r="AA1876" t="str">
            <v>Орловская область</v>
          </cell>
        </row>
        <row r="1877">
          <cell r="AA1877" t="str">
            <v>Орловская область</v>
          </cell>
        </row>
        <row r="1878">
          <cell r="AA1878" t="str">
            <v>Орловская область</v>
          </cell>
        </row>
        <row r="1879">
          <cell r="AA1879" t="str">
            <v>Орловская область</v>
          </cell>
        </row>
        <row r="1880">
          <cell r="AA1880" t="str">
            <v>Орловская область</v>
          </cell>
        </row>
        <row r="1881">
          <cell r="AA1881" t="str">
            <v>Орловская область</v>
          </cell>
        </row>
        <row r="1882">
          <cell r="AA1882" t="str">
            <v>Пензенская область</v>
          </cell>
        </row>
        <row r="1883">
          <cell r="AA1883" t="str">
            <v>Пензенская область</v>
          </cell>
        </row>
        <row r="1884">
          <cell r="AA1884" t="str">
            <v>Пензенская область</v>
          </cell>
        </row>
        <row r="1885">
          <cell r="AA1885" t="str">
            <v>Пензенская область</v>
          </cell>
        </row>
        <row r="1886">
          <cell r="AA1886" t="str">
            <v>Пензенская область</v>
          </cell>
        </row>
        <row r="1887">
          <cell r="AA1887" t="str">
            <v>Пензенская область</v>
          </cell>
        </row>
        <row r="1888">
          <cell r="AA1888" t="str">
            <v>Пензенская область</v>
          </cell>
        </row>
        <row r="1889">
          <cell r="AA1889" t="str">
            <v>Пензенская область</v>
          </cell>
        </row>
        <row r="1890">
          <cell r="AA1890" t="str">
            <v>Пензенская область</v>
          </cell>
        </row>
        <row r="1891">
          <cell r="AA1891" t="str">
            <v>Пензенская область</v>
          </cell>
        </row>
        <row r="1892">
          <cell r="AA1892" t="str">
            <v>Пензенская область</v>
          </cell>
        </row>
        <row r="1893">
          <cell r="AA1893" t="str">
            <v>Пензенская область</v>
          </cell>
        </row>
        <row r="1894">
          <cell r="AA1894" t="str">
            <v>Пензенская область</v>
          </cell>
        </row>
        <row r="1895">
          <cell r="AA1895" t="str">
            <v>Пензенская область</v>
          </cell>
        </row>
        <row r="1896">
          <cell r="AA1896" t="str">
            <v>Пензенская область</v>
          </cell>
        </row>
        <row r="1897">
          <cell r="AA1897" t="str">
            <v>Пензенская область</v>
          </cell>
        </row>
        <row r="1898">
          <cell r="AA1898" t="str">
            <v>Пензенская область</v>
          </cell>
        </row>
        <row r="1899">
          <cell r="AA1899" t="str">
            <v>Пензенская область</v>
          </cell>
        </row>
        <row r="1900">
          <cell r="AA1900" t="str">
            <v>Пензенская область</v>
          </cell>
        </row>
        <row r="1901">
          <cell r="AA1901" t="str">
            <v>Пензенская область</v>
          </cell>
        </row>
        <row r="1902">
          <cell r="AA1902" t="str">
            <v>Пензенская область</v>
          </cell>
        </row>
        <row r="1903">
          <cell r="AA1903" t="str">
            <v>Пензенская область</v>
          </cell>
        </row>
        <row r="1904">
          <cell r="AA1904" t="str">
            <v>Пензенская область</v>
          </cell>
        </row>
        <row r="1905">
          <cell r="AA1905" t="str">
            <v>Пензенская область</v>
          </cell>
        </row>
        <row r="1906">
          <cell r="AA1906" t="str">
            <v>Пензенская область</v>
          </cell>
        </row>
        <row r="1907">
          <cell r="AA1907" t="str">
            <v>Пермский край</v>
          </cell>
        </row>
        <row r="1908">
          <cell r="AA1908" t="str">
            <v>Пермский край</v>
          </cell>
        </row>
        <row r="1909">
          <cell r="AA1909" t="str">
            <v>Пермский край</v>
          </cell>
        </row>
        <row r="1910">
          <cell r="AA1910" t="str">
            <v>Пермский край</v>
          </cell>
        </row>
        <row r="1911">
          <cell r="AA1911" t="str">
            <v>Пермский край</v>
          </cell>
        </row>
        <row r="1912">
          <cell r="AA1912" t="str">
            <v>Пермский край</v>
          </cell>
        </row>
        <row r="1913">
          <cell r="AA1913" t="str">
            <v>Пермский край</v>
          </cell>
        </row>
        <row r="1914">
          <cell r="AA1914" t="str">
            <v>Пермский край</v>
          </cell>
        </row>
        <row r="1915">
          <cell r="AA1915" t="str">
            <v>Пермский край</v>
          </cell>
        </row>
        <row r="1916">
          <cell r="AA1916" t="str">
            <v>Пермский край</v>
          </cell>
        </row>
        <row r="1917">
          <cell r="AA1917" t="str">
            <v>Пермский край</v>
          </cell>
        </row>
        <row r="1918">
          <cell r="AA1918" t="str">
            <v>Пермский край</v>
          </cell>
        </row>
        <row r="1919">
          <cell r="AA1919" t="str">
            <v>Пермский край</v>
          </cell>
        </row>
        <row r="1920">
          <cell r="AA1920" t="str">
            <v>Пермский край</v>
          </cell>
        </row>
        <row r="1921">
          <cell r="AA1921" t="str">
            <v>Пермский край</v>
          </cell>
        </row>
        <row r="1922">
          <cell r="AA1922" t="str">
            <v>Пермский край</v>
          </cell>
        </row>
        <row r="1923">
          <cell r="AA1923" t="str">
            <v>Пермский край</v>
          </cell>
        </row>
        <row r="1924">
          <cell r="AA1924" t="str">
            <v>Пермский край</v>
          </cell>
        </row>
        <row r="1925">
          <cell r="AA1925" t="str">
            <v>Пермский край</v>
          </cell>
        </row>
        <row r="1926">
          <cell r="AA1926" t="str">
            <v>Пермский край</v>
          </cell>
        </row>
        <row r="1927">
          <cell r="AA1927" t="str">
            <v>Пермский край</v>
          </cell>
        </row>
        <row r="1928">
          <cell r="AA1928" t="str">
            <v>Пермский край</v>
          </cell>
        </row>
        <row r="1929">
          <cell r="AA1929" t="str">
            <v>Пермский край</v>
          </cell>
        </row>
        <row r="1930">
          <cell r="AA1930" t="str">
            <v>Пермский край</v>
          </cell>
        </row>
        <row r="1931">
          <cell r="AA1931" t="str">
            <v>Пермский край</v>
          </cell>
        </row>
        <row r="1932">
          <cell r="AA1932" t="str">
            <v>Пермский край</v>
          </cell>
        </row>
        <row r="1933">
          <cell r="AA1933" t="str">
            <v>Пермский край</v>
          </cell>
        </row>
        <row r="1934">
          <cell r="AA1934" t="str">
            <v>Пермский край</v>
          </cell>
        </row>
        <row r="1935">
          <cell r="AA1935" t="str">
            <v>Пермский край</v>
          </cell>
        </row>
        <row r="1936">
          <cell r="AA1936" t="str">
            <v>Пермский край</v>
          </cell>
        </row>
        <row r="1937">
          <cell r="AA1937" t="str">
            <v>Пермский край</v>
          </cell>
        </row>
        <row r="1938">
          <cell r="AA1938" t="str">
            <v>Пермский край</v>
          </cell>
        </row>
        <row r="1939">
          <cell r="AA1939" t="str">
            <v>Пермский край</v>
          </cell>
        </row>
        <row r="1940">
          <cell r="AA1940" t="str">
            <v>Пермский край</v>
          </cell>
        </row>
        <row r="1941">
          <cell r="AA1941" t="str">
            <v>Пермский край</v>
          </cell>
        </row>
        <row r="1942">
          <cell r="AA1942" t="str">
            <v>Пермский край</v>
          </cell>
        </row>
        <row r="1943">
          <cell r="AA1943" t="str">
            <v>Пермский край</v>
          </cell>
        </row>
        <row r="1944">
          <cell r="AA1944" t="str">
            <v>Пермский край</v>
          </cell>
        </row>
        <row r="1945">
          <cell r="AA1945" t="str">
            <v>Пермский край</v>
          </cell>
        </row>
        <row r="1946">
          <cell r="AA1946" t="str">
            <v>Пермский край</v>
          </cell>
        </row>
        <row r="1947">
          <cell r="AA1947" t="str">
            <v>Пермский край</v>
          </cell>
        </row>
        <row r="1948">
          <cell r="AA1948" t="str">
            <v>Пермский край</v>
          </cell>
        </row>
        <row r="1949">
          <cell r="AA1949" t="str">
            <v>Пермский край</v>
          </cell>
        </row>
        <row r="1950">
          <cell r="AA1950" t="str">
            <v>Пермский край</v>
          </cell>
        </row>
        <row r="1951">
          <cell r="AA1951" t="str">
            <v>Пермский край</v>
          </cell>
        </row>
        <row r="1952">
          <cell r="AA1952" t="str">
            <v>Пермский край</v>
          </cell>
        </row>
        <row r="1953">
          <cell r="AA1953" t="str">
            <v>Пермский край</v>
          </cell>
        </row>
        <row r="1954">
          <cell r="AA1954" t="str">
            <v>Пермский край</v>
          </cell>
        </row>
        <row r="1955">
          <cell r="AA1955" t="str">
            <v>Пермский край</v>
          </cell>
        </row>
        <row r="1956">
          <cell r="AA1956" t="str">
            <v>Пермский край</v>
          </cell>
        </row>
        <row r="1957">
          <cell r="AA1957" t="str">
            <v>Пермский край</v>
          </cell>
        </row>
        <row r="1958">
          <cell r="AA1958" t="str">
            <v>Пермский край</v>
          </cell>
        </row>
        <row r="1959">
          <cell r="AA1959" t="str">
            <v>Пермский край</v>
          </cell>
        </row>
        <row r="1960">
          <cell r="AA1960" t="str">
            <v>Пермский край</v>
          </cell>
        </row>
        <row r="1961">
          <cell r="AA1961" t="str">
            <v>Пермский край</v>
          </cell>
        </row>
        <row r="1962">
          <cell r="AA1962" t="str">
            <v>Пермский край</v>
          </cell>
        </row>
        <row r="1963">
          <cell r="AA1963" t="str">
            <v>Пермский край</v>
          </cell>
        </row>
        <row r="1964">
          <cell r="AA1964" t="str">
            <v>Пермский край</v>
          </cell>
        </row>
        <row r="1965">
          <cell r="AA1965" t="str">
            <v>Пермский край</v>
          </cell>
        </row>
        <row r="1966">
          <cell r="AA1966" t="str">
            <v>Пермский край</v>
          </cell>
        </row>
        <row r="1967">
          <cell r="AA1967" t="str">
            <v>Пермский край</v>
          </cell>
        </row>
        <row r="1968">
          <cell r="AA1968" t="str">
            <v>Пермский край</v>
          </cell>
        </row>
        <row r="1969">
          <cell r="AA1969" t="str">
            <v>Пермский край</v>
          </cell>
        </row>
        <row r="1970">
          <cell r="AA1970" t="str">
            <v>Пермский край</v>
          </cell>
        </row>
        <row r="1971">
          <cell r="AA1971" t="str">
            <v>Пермский край</v>
          </cell>
        </row>
        <row r="1972">
          <cell r="AA1972" t="str">
            <v>Пермский край</v>
          </cell>
        </row>
        <row r="1973">
          <cell r="AA1973" t="str">
            <v>Пермский край</v>
          </cell>
        </row>
        <row r="1974">
          <cell r="AA1974" t="str">
            <v>Пермский край</v>
          </cell>
        </row>
        <row r="1975">
          <cell r="AA1975" t="str">
            <v>Приморский край</v>
          </cell>
        </row>
        <row r="1976">
          <cell r="AA1976" t="str">
            <v>Приморский край</v>
          </cell>
        </row>
        <row r="1977">
          <cell r="AA1977" t="str">
            <v>Приморский край</v>
          </cell>
        </row>
        <row r="1978">
          <cell r="AA1978" t="str">
            <v>Приморский край</v>
          </cell>
        </row>
        <row r="1979">
          <cell r="AA1979" t="str">
            <v>Приморский край</v>
          </cell>
        </row>
        <row r="1980">
          <cell r="AA1980" t="str">
            <v>Приморский край</v>
          </cell>
        </row>
        <row r="1981">
          <cell r="AA1981" t="str">
            <v>Приморский край</v>
          </cell>
        </row>
        <row r="1982">
          <cell r="AA1982" t="str">
            <v>Приморский край</v>
          </cell>
        </row>
        <row r="1983">
          <cell r="AA1983" t="str">
            <v>Приморский край</v>
          </cell>
        </row>
        <row r="1984">
          <cell r="AA1984" t="str">
            <v>Приморский край</v>
          </cell>
        </row>
        <row r="1985">
          <cell r="AA1985" t="str">
            <v>Приморский край</v>
          </cell>
        </row>
        <row r="1986">
          <cell r="AA1986" t="str">
            <v>Приморский край</v>
          </cell>
        </row>
        <row r="1987">
          <cell r="AA1987" t="str">
            <v>Приморский край</v>
          </cell>
        </row>
        <row r="1988">
          <cell r="AA1988" t="str">
            <v>Приморский край</v>
          </cell>
        </row>
        <row r="1989">
          <cell r="AA1989" t="str">
            <v>Приморский край</v>
          </cell>
        </row>
        <row r="1990">
          <cell r="AA1990" t="str">
            <v>Приморский край</v>
          </cell>
        </row>
        <row r="1991">
          <cell r="AA1991" t="str">
            <v>Приморский край</v>
          </cell>
        </row>
        <row r="1992">
          <cell r="AA1992" t="str">
            <v>Приморский край</v>
          </cell>
        </row>
        <row r="1993">
          <cell r="AA1993" t="str">
            <v>Приморский край</v>
          </cell>
        </row>
        <row r="1994">
          <cell r="AA1994" t="str">
            <v>Приморский край</v>
          </cell>
        </row>
        <row r="1995">
          <cell r="AA1995" t="str">
            <v>Приморский край</v>
          </cell>
        </row>
        <row r="1996">
          <cell r="AA1996" t="str">
            <v>Приморский край</v>
          </cell>
        </row>
        <row r="1997">
          <cell r="AA1997" t="str">
            <v>Приморский край</v>
          </cell>
        </row>
        <row r="1998">
          <cell r="AA1998" t="str">
            <v>Приморский край</v>
          </cell>
        </row>
        <row r="1999">
          <cell r="AA1999" t="str">
            <v>Приморский край</v>
          </cell>
        </row>
        <row r="2000">
          <cell r="AA2000" t="str">
            <v>Приморский край</v>
          </cell>
        </row>
        <row r="2001">
          <cell r="AA2001" t="str">
            <v>Приморский край</v>
          </cell>
        </row>
        <row r="2002">
          <cell r="AA2002" t="str">
            <v>Приморский край</v>
          </cell>
        </row>
        <row r="2003">
          <cell r="AA2003" t="str">
            <v>Приморский край</v>
          </cell>
        </row>
        <row r="2004">
          <cell r="AA2004" t="str">
            <v>Приморский край</v>
          </cell>
        </row>
        <row r="2005">
          <cell r="AA2005" t="str">
            <v>Приморский край</v>
          </cell>
        </row>
        <row r="2006">
          <cell r="AA2006" t="str">
            <v>Приморский край</v>
          </cell>
        </row>
        <row r="2007">
          <cell r="AA2007" t="str">
            <v>Приморский край</v>
          </cell>
        </row>
        <row r="2008">
          <cell r="AA2008" t="str">
            <v>Приморский край</v>
          </cell>
        </row>
        <row r="2009">
          <cell r="AA2009" t="str">
            <v>Приморский край</v>
          </cell>
        </row>
        <row r="2010">
          <cell r="AA2010" t="str">
            <v>Приморский край</v>
          </cell>
        </row>
        <row r="2011">
          <cell r="AA2011" t="str">
            <v>Приморский край</v>
          </cell>
        </row>
        <row r="2012">
          <cell r="AA2012" t="str">
            <v>Приморский край</v>
          </cell>
        </row>
        <row r="2013">
          <cell r="AA2013" t="str">
            <v>Приморский край</v>
          </cell>
        </row>
        <row r="2014">
          <cell r="AA2014" t="str">
            <v>Приморский край</v>
          </cell>
        </row>
        <row r="2015">
          <cell r="AA2015" t="str">
            <v>Приморский край</v>
          </cell>
        </row>
        <row r="2016">
          <cell r="AA2016" t="str">
            <v>Приморский край</v>
          </cell>
        </row>
        <row r="2017">
          <cell r="AA2017" t="str">
            <v>Приморский край</v>
          </cell>
        </row>
        <row r="2018">
          <cell r="AA2018" t="str">
            <v>Приморский край</v>
          </cell>
        </row>
        <row r="2019">
          <cell r="AA2019" t="str">
            <v>Приморский край</v>
          </cell>
        </row>
        <row r="2020">
          <cell r="AA2020" t="str">
            <v>Приморский край</v>
          </cell>
        </row>
        <row r="2021">
          <cell r="AA2021" t="str">
            <v>Приморский край</v>
          </cell>
        </row>
        <row r="2022">
          <cell r="AA2022" t="str">
            <v>Приморский край</v>
          </cell>
        </row>
        <row r="2023">
          <cell r="AA2023" t="str">
            <v>Приморский край</v>
          </cell>
        </row>
        <row r="2024">
          <cell r="AA2024" t="str">
            <v>Приморский край</v>
          </cell>
        </row>
        <row r="2025">
          <cell r="AA2025" t="str">
            <v>Приморский край</v>
          </cell>
        </row>
        <row r="2026">
          <cell r="AA2026" t="str">
            <v>Приморский край</v>
          </cell>
        </row>
        <row r="2027">
          <cell r="AA2027" t="str">
            <v>Приморский край</v>
          </cell>
        </row>
        <row r="2028">
          <cell r="AA2028" t="str">
            <v>Приморский край</v>
          </cell>
        </row>
        <row r="2029">
          <cell r="AA2029" t="str">
            <v>Приморский край</v>
          </cell>
        </row>
        <row r="2030">
          <cell r="AA2030" t="str">
            <v>Псковская область</v>
          </cell>
        </row>
        <row r="2031">
          <cell r="AA2031" t="str">
            <v>Псковская область</v>
          </cell>
        </row>
        <row r="2032">
          <cell r="AA2032" t="str">
            <v>Псковская область</v>
          </cell>
        </row>
        <row r="2033">
          <cell r="AA2033" t="str">
            <v>Псковская область</v>
          </cell>
        </row>
        <row r="2034">
          <cell r="AA2034" t="str">
            <v>Псковская область</v>
          </cell>
        </row>
        <row r="2035">
          <cell r="AA2035" t="str">
            <v>Псковская область</v>
          </cell>
        </row>
        <row r="2036">
          <cell r="AA2036" t="str">
            <v>Псковская область</v>
          </cell>
        </row>
        <row r="2037">
          <cell r="AA2037" t="str">
            <v>Псковская область</v>
          </cell>
        </row>
        <row r="2038">
          <cell r="AA2038" t="str">
            <v>Псковская область</v>
          </cell>
        </row>
        <row r="2039">
          <cell r="AA2039" t="str">
            <v>Псковская область</v>
          </cell>
        </row>
        <row r="2040">
          <cell r="AA2040" t="str">
            <v>Псковская область</v>
          </cell>
        </row>
        <row r="2041">
          <cell r="AA2041" t="str">
            <v>Псковская область</v>
          </cell>
        </row>
        <row r="2042">
          <cell r="AA2042" t="str">
            <v>Псковская область</v>
          </cell>
        </row>
        <row r="2043">
          <cell r="AA2043" t="str">
            <v>Псковская область</v>
          </cell>
        </row>
        <row r="2044">
          <cell r="AA2044" t="str">
            <v>Псковская область</v>
          </cell>
        </row>
        <row r="2045">
          <cell r="AA2045" t="str">
            <v>Псковская область</v>
          </cell>
        </row>
        <row r="2046">
          <cell r="AA2046" t="str">
            <v>Псковская область</v>
          </cell>
        </row>
        <row r="2047">
          <cell r="AA2047" t="str">
            <v>Республика Адыгея</v>
          </cell>
        </row>
        <row r="2048">
          <cell r="AA2048" t="str">
            <v>Республика Адыгея</v>
          </cell>
        </row>
        <row r="2049">
          <cell r="AA2049" t="str">
            <v>Республика Адыгея</v>
          </cell>
        </row>
        <row r="2050">
          <cell r="AA2050" t="str">
            <v>Республика Адыгея</v>
          </cell>
        </row>
        <row r="2051">
          <cell r="AA2051" t="str">
            <v>Республика Адыгея</v>
          </cell>
        </row>
        <row r="2052">
          <cell r="AA2052" t="str">
            <v>Республика Адыгея</v>
          </cell>
        </row>
        <row r="2053">
          <cell r="AA2053" t="str">
            <v>Республика Адыгея</v>
          </cell>
        </row>
        <row r="2054">
          <cell r="AA2054" t="str">
            <v>Республика Адыгея</v>
          </cell>
        </row>
        <row r="2055">
          <cell r="AA2055" t="str">
            <v>Республика Адыгея</v>
          </cell>
        </row>
        <row r="2056">
          <cell r="AA2056" t="str">
            <v>Республика Адыгея</v>
          </cell>
        </row>
        <row r="2057">
          <cell r="AA2057" t="str">
            <v>Республика Адыгея</v>
          </cell>
        </row>
        <row r="2058">
          <cell r="AA2058" t="str">
            <v>Республика Адыгея</v>
          </cell>
        </row>
        <row r="2059">
          <cell r="AA2059" t="str">
            <v>Республика Адыгея</v>
          </cell>
        </row>
        <row r="2060">
          <cell r="AA2060" t="str">
            <v>Республика Алтай</v>
          </cell>
        </row>
        <row r="2061">
          <cell r="AA2061" t="str">
            <v>Республика Алтай</v>
          </cell>
        </row>
        <row r="2062">
          <cell r="AA2062" t="str">
            <v>Республика Алтай</v>
          </cell>
        </row>
        <row r="2063">
          <cell r="AA2063" t="str">
            <v>Республика Алтай</v>
          </cell>
        </row>
        <row r="2064">
          <cell r="AA2064" t="str">
            <v>Республика Алтай</v>
          </cell>
        </row>
        <row r="2065">
          <cell r="AA2065" t="str">
            <v>Республика Алтай</v>
          </cell>
        </row>
        <row r="2066">
          <cell r="AA2066" t="str">
            <v>Республика Алтай</v>
          </cell>
        </row>
        <row r="2067">
          <cell r="AA2067" t="str">
            <v>Республика Алтай</v>
          </cell>
        </row>
        <row r="2068">
          <cell r="AA2068" t="str">
            <v>Республика Алтай</v>
          </cell>
        </row>
        <row r="2069">
          <cell r="AA2069" t="str">
            <v>Республика Алтай</v>
          </cell>
        </row>
        <row r="2070">
          <cell r="AA2070" t="str">
            <v>Республика Алтай</v>
          </cell>
        </row>
        <row r="2071">
          <cell r="AA2071" t="str">
            <v>Республика Алтай</v>
          </cell>
        </row>
        <row r="2072">
          <cell r="AA2072" t="str">
            <v>Республика Башкортостан</v>
          </cell>
        </row>
        <row r="2073">
          <cell r="AA2073" t="str">
            <v>Республика Башкортостан</v>
          </cell>
        </row>
        <row r="2074">
          <cell r="AA2074" t="str">
            <v>Республика Башкортостан</v>
          </cell>
        </row>
        <row r="2075">
          <cell r="AA2075" t="str">
            <v>Республика Башкортостан</v>
          </cell>
        </row>
        <row r="2076">
          <cell r="AA2076" t="str">
            <v>Республика Башкортостан</v>
          </cell>
        </row>
        <row r="2077">
          <cell r="AA2077" t="str">
            <v>Республика Башкортостан</v>
          </cell>
        </row>
        <row r="2078">
          <cell r="AA2078" t="str">
            <v>Республика Башкортостан</v>
          </cell>
        </row>
        <row r="2079">
          <cell r="AA2079" t="str">
            <v>Республика Башкортостан</v>
          </cell>
        </row>
        <row r="2080">
          <cell r="AA2080" t="str">
            <v>Республика Башкортостан</v>
          </cell>
        </row>
        <row r="2081">
          <cell r="AA2081" t="str">
            <v>Республика Башкортостан</v>
          </cell>
        </row>
        <row r="2082">
          <cell r="AA2082" t="str">
            <v>Республика Башкортостан</v>
          </cell>
        </row>
        <row r="2083">
          <cell r="AA2083" t="str">
            <v>Республика Башкортостан</v>
          </cell>
        </row>
        <row r="2084">
          <cell r="AA2084" t="str">
            <v>Республика Башкортостан</v>
          </cell>
        </row>
        <row r="2085">
          <cell r="AA2085" t="str">
            <v>Республика Башкортостан</v>
          </cell>
        </row>
        <row r="2086">
          <cell r="AA2086" t="str">
            <v>Республика Башкортостан</v>
          </cell>
        </row>
        <row r="2087">
          <cell r="AA2087" t="str">
            <v>Республика Башкортостан</v>
          </cell>
        </row>
        <row r="2088">
          <cell r="AA2088" t="str">
            <v>Республика Башкортостан</v>
          </cell>
        </row>
        <row r="2089">
          <cell r="AA2089" t="str">
            <v>Республика Башкортостан</v>
          </cell>
        </row>
        <row r="2090">
          <cell r="AA2090" t="str">
            <v>Республика Башкортостан</v>
          </cell>
        </row>
        <row r="2091">
          <cell r="AA2091" t="str">
            <v>Республика Башкортостан</v>
          </cell>
        </row>
        <row r="2092">
          <cell r="AA2092" t="str">
            <v>Республика Башкортостан</v>
          </cell>
        </row>
        <row r="2093">
          <cell r="AA2093" t="str">
            <v>Республика Башкортостан</v>
          </cell>
        </row>
        <row r="2094">
          <cell r="AA2094" t="str">
            <v>Республика Башкортостан</v>
          </cell>
        </row>
        <row r="2095">
          <cell r="AA2095" t="str">
            <v>Республика Башкортостан</v>
          </cell>
        </row>
        <row r="2096">
          <cell r="AA2096" t="str">
            <v>Республика Башкортостан</v>
          </cell>
        </row>
        <row r="2097">
          <cell r="AA2097" t="str">
            <v>Республика Башкортостан</v>
          </cell>
        </row>
        <row r="2098">
          <cell r="AA2098" t="str">
            <v>Республика Башкортостан</v>
          </cell>
        </row>
        <row r="2099">
          <cell r="AA2099" t="str">
            <v>Республика Башкортостан</v>
          </cell>
        </row>
        <row r="2100">
          <cell r="AA2100" t="str">
            <v>Республика Башкортостан</v>
          </cell>
        </row>
        <row r="2101">
          <cell r="AA2101" t="str">
            <v>Республика Башкортостан</v>
          </cell>
        </row>
        <row r="2102">
          <cell r="AA2102" t="str">
            <v>Республика Башкортостан</v>
          </cell>
        </row>
        <row r="2103">
          <cell r="AA2103" t="str">
            <v>Республика Башкортостан</v>
          </cell>
        </row>
        <row r="2104">
          <cell r="AA2104" t="str">
            <v>Республика Башкортостан</v>
          </cell>
        </row>
        <row r="2105">
          <cell r="AA2105" t="str">
            <v>Республика Башкортостан</v>
          </cell>
        </row>
        <row r="2106">
          <cell r="AA2106" t="str">
            <v>Республика Башкортостан</v>
          </cell>
        </row>
        <row r="2107">
          <cell r="AA2107" t="str">
            <v>Республика Башкортостан</v>
          </cell>
        </row>
        <row r="2108">
          <cell r="AA2108" t="str">
            <v>Республика Башкортостан</v>
          </cell>
        </row>
        <row r="2109">
          <cell r="AA2109" t="str">
            <v>Республика Башкортостан</v>
          </cell>
        </row>
        <row r="2110">
          <cell r="AA2110" t="str">
            <v>Республика Башкортостан</v>
          </cell>
        </row>
        <row r="2111">
          <cell r="AA2111" t="str">
            <v>Республика Башкортостан</v>
          </cell>
        </row>
        <row r="2112">
          <cell r="AA2112" t="str">
            <v>Республика Башкортостан</v>
          </cell>
        </row>
        <row r="2113">
          <cell r="AA2113" t="str">
            <v>Республика Башкортостан</v>
          </cell>
        </row>
        <row r="2114">
          <cell r="AA2114" t="str">
            <v>Республика Башкортостан</v>
          </cell>
        </row>
        <row r="2115">
          <cell r="AA2115" t="str">
            <v>Республика Башкортостан</v>
          </cell>
        </row>
        <row r="2116">
          <cell r="AA2116" t="str">
            <v>Республика Башкортостан</v>
          </cell>
        </row>
        <row r="2117">
          <cell r="AA2117" t="str">
            <v>Республика Башкортостан</v>
          </cell>
        </row>
        <row r="2118">
          <cell r="AA2118" t="str">
            <v>Республика Башкортостан</v>
          </cell>
        </row>
        <row r="2119">
          <cell r="AA2119" t="str">
            <v>Республика Башкортостан</v>
          </cell>
        </row>
        <row r="2120">
          <cell r="AA2120" t="str">
            <v>Республика Башкортостан</v>
          </cell>
        </row>
        <row r="2121">
          <cell r="AA2121" t="str">
            <v>Республика Башкортостан</v>
          </cell>
        </row>
        <row r="2122">
          <cell r="AA2122" t="str">
            <v>Республика Башкортостан</v>
          </cell>
        </row>
        <row r="2123">
          <cell r="AA2123" t="str">
            <v>Республика Башкортостан</v>
          </cell>
        </row>
        <row r="2124">
          <cell r="AA2124" t="str">
            <v>Республика Башкортостан</v>
          </cell>
        </row>
        <row r="2125">
          <cell r="AA2125" t="str">
            <v>Республика Башкортостан</v>
          </cell>
        </row>
        <row r="2126">
          <cell r="AA2126" t="str">
            <v>Республика Башкортостан</v>
          </cell>
        </row>
        <row r="2127">
          <cell r="AA2127" t="str">
            <v>Республика Башкортостан</v>
          </cell>
        </row>
        <row r="2128">
          <cell r="AA2128" t="str">
            <v>Республика Башкортостан</v>
          </cell>
        </row>
        <row r="2129">
          <cell r="AA2129" t="str">
            <v>Республика Башкортостан</v>
          </cell>
        </row>
        <row r="2130">
          <cell r="AA2130" t="str">
            <v>Республика Башкортостан</v>
          </cell>
        </row>
        <row r="2131">
          <cell r="AA2131" t="str">
            <v>Республика Башкортостан</v>
          </cell>
        </row>
        <row r="2132">
          <cell r="AA2132" t="str">
            <v>Республика Башкортостан</v>
          </cell>
        </row>
        <row r="2133">
          <cell r="AA2133" t="str">
            <v>Республика Башкортостан</v>
          </cell>
        </row>
        <row r="2134">
          <cell r="AA2134" t="str">
            <v>Республика Башкортостан</v>
          </cell>
        </row>
        <row r="2135">
          <cell r="AA2135" t="str">
            <v>Республика Башкортостан</v>
          </cell>
        </row>
        <row r="2136">
          <cell r="AA2136" t="str">
            <v>Республика Башкортостан</v>
          </cell>
        </row>
        <row r="2137">
          <cell r="AA2137" t="str">
            <v>Республика Башкортостан</v>
          </cell>
        </row>
        <row r="2138">
          <cell r="AA2138" t="str">
            <v>Республика Башкортостан</v>
          </cell>
        </row>
        <row r="2139">
          <cell r="AA2139" t="str">
            <v>Республика Башкортостан</v>
          </cell>
        </row>
        <row r="2140">
          <cell r="AA2140" t="str">
            <v>Республика Башкортостан</v>
          </cell>
        </row>
        <row r="2141">
          <cell r="AA2141" t="str">
            <v>Республика Башкортостан</v>
          </cell>
        </row>
        <row r="2142">
          <cell r="AA2142" t="str">
            <v>Республика Башкортостан</v>
          </cell>
        </row>
        <row r="2143">
          <cell r="AA2143" t="str">
            <v>Республика Башкортостан</v>
          </cell>
        </row>
        <row r="2144">
          <cell r="AA2144" t="str">
            <v>Республика Башкортостан</v>
          </cell>
        </row>
        <row r="2145">
          <cell r="AA2145" t="str">
            <v>Республика Башкортостан</v>
          </cell>
        </row>
        <row r="2146">
          <cell r="AA2146" t="str">
            <v>Республика Башкортостан</v>
          </cell>
        </row>
        <row r="2147">
          <cell r="AA2147" t="str">
            <v>Республика Башкортостан</v>
          </cell>
        </row>
        <row r="2148">
          <cell r="AA2148" t="str">
            <v>Республика Башкортостан</v>
          </cell>
        </row>
        <row r="2149">
          <cell r="AA2149" t="str">
            <v>Республика Башкортостан</v>
          </cell>
        </row>
        <row r="2150">
          <cell r="AA2150" t="str">
            <v>Республика Башкортостан</v>
          </cell>
        </row>
        <row r="2151">
          <cell r="AA2151" t="str">
            <v>Республика Башкортостан</v>
          </cell>
        </row>
        <row r="2152">
          <cell r="AA2152" t="str">
            <v>Республика Башкортостан</v>
          </cell>
        </row>
        <row r="2153">
          <cell r="AA2153" t="str">
            <v>Республика Башкортостан</v>
          </cell>
        </row>
        <row r="2154">
          <cell r="AA2154" t="str">
            <v>Республика Башкортостан</v>
          </cell>
        </row>
        <row r="2155">
          <cell r="AA2155" t="str">
            <v>Республика Башкортостан</v>
          </cell>
        </row>
        <row r="2156">
          <cell r="AA2156" t="str">
            <v>Республика Башкортостан</v>
          </cell>
        </row>
        <row r="2157">
          <cell r="AA2157" t="str">
            <v>Республика Башкортостан</v>
          </cell>
        </row>
        <row r="2158">
          <cell r="AA2158" t="str">
            <v>Республика Башкортостан</v>
          </cell>
        </row>
        <row r="2159">
          <cell r="AA2159" t="str">
            <v>Республика Бурятия</v>
          </cell>
        </row>
        <row r="2160">
          <cell r="AA2160" t="str">
            <v>Республика Бурятия</v>
          </cell>
        </row>
        <row r="2161">
          <cell r="AA2161" t="str">
            <v>Республика Бурятия</v>
          </cell>
        </row>
        <row r="2162">
          <cell r="AA2162" t="str">
            <v>Республика Бурятия</v>
          </cell>
        </row>
        <row r="2163">
          <cell r="AA2163" t="str">
            <v>Республика Бурятия</v>
          </cell>
        </row>
        <row r="2164">
          <cell r="AA2164" t="str">
            <v>Республика Бурятия</v>
          </cell>
        </row>
        <row r="2165">
          <cell r="AA2165" t="str">
            <v>Республика Бурятия</v>
          </cell>
        </row>
        <row r="2166">
          <cell r="AA2166" t="str">
            <v>Республика Бурятия</v>
          </cell>
        </row>
        <row r="2167">
          <cell r="AA2167" t="str">
            <v>Республика Бурятия</v>
          </cell>
        </row>
        <row r="2168">
          <cell r="AA2168" t="str">
            <v>Республика Бурятия</v>
          </cell>
        </row>
        <row r="2169">
          <cell r="AA2169" t="str">
            <v>Республика Бурятия</v>
          </cell>
        </row>
        <row r="2170">
          <cell r="AA2170" t="str">
            <v>Республика Бурятия</v>
          </cell>
        </row>
        <row r="2171">
          <cell r="AA2171" t="str">
            <v>Республика Бурятия</v>
          </cell>
        </row>
        <row r="2172">
          <cell r="AA2172" t="str">
            <v>Республика Бурятия</v>
          </cell>
        </row>
        <row r="2173">
          <cell r="AA2173" t="str">
            <v>Республика Бурятия</v>
          </cell>
        </row>
        <row r="2174">
          <cell r="AA2174" t="str">
            <v>Республика Бурятия</v>
          </cell>
        </row>
        <row r="2175">
          <cell r="AA2175" t="str">
            <v>Республика Бурятия</v>
          </cell>
        </row>
        <row r="2176">
          <cell r="AA2176" t="str">
            <v>Республика Бурятия</v>
          </cell>
        </row>
        <row r="2177">
          <cell r="AA2177" t="str">
            <v>Республика Бурятия</v>
          </cell>
        </row>
        <row r="2178">
          <cell r="AA2178" t="str">
            <v>Республика Бурятия</v>
          </cell>
        </row>
        <row r="2179">
          <cell r="AA2179" t="str">
            <v>Республика Бурятия</v>
          </cell>
        </row>
        <row r="2180">
          <cell r="AA2180" t="str">
            <v>Республика Бурятия</v>
          </cell>
        </row>
        <row r="2181">
          <cell r="AA2181" t="str">
            <v>Республика Бурятия</v>
          </cell>
        </row>
        <row r="2182">
          <cell r="AA2182" t="str">
            <v>Республика Бурятия</v>
          </cell>
        </row>
        <row r="2183">
          <cell r="AA2183" t="str">
            <v>Республика Бурятия</v>
          </cell>
        </row>
        <row r="2184">
          <cell r="AA2184" t="str">
            <v>Республика Бурятия</v>
          </cell>
        </row>
        <row r="2185">
          <cell r="AA2185" t="str">
            <v>Республика Бурятия</v>
          </cell>
        </row>
        <row r="2186">
          <cell r="AA2186" t="str">
            <v>Республика Дагестан</v>
          </cell>
        </row>
        <row r="2187">
          <cell r="AA2187" t="str">
            <v>Республика Дагестан</v>
          </cell>
        </row>
        <row r="2188">
          <cell r="AA2188" t="str">
            <v>Республика Дагестан</v>
          </cell>
        </row>
        <row r="2189">
          <cell r="AA2189" t="str">
            <v>Республика Дагестан</v>
          </cell>
        </row>
        <row r="2190">
          <cell r="AA2190" t="str">
            <v>Республика Дагестан</v>
          </cell>
        </row>
        <row r="2191">
          <cell r="AA2191" t="str">
            <v>Республика Дагестан</v>
          </cell>
        </row>
        <row r="2192">
          <cell r="AA2192" t="str">
            <v>Республика Дагестан</v>
          </cell>
        </row>
        <row r="2193">
          <cell r="AA2193" t="str">
            <v>Республика Дагестан</v>
          </cell>
        </row>
        <row r="2194">
          <cell r="AA2194" t="str">
            <v>Республика Дагестан</v>
          </cell>
        </row>
        <row r="2195">
          <cell r="AA2195" t="str">
            <v>Республика Дагестан</v>
          </cell>
        </row>
        <row r="2196">
          <cell r="AA2196" t="str">
            <v>Республика Дагестан</v>
          </cell>
        </row>
        <row r="2197">
          <cell r="AA2197" t="str">
            <v>Республика Дагестан</v>
          </cell>
        </row>
        <row r="2198">
          <cell r="AA2198" t="str">
            <v>Республика Дагестан</v>
          </cell>
        </row>
        <row r="2199">
          <cell r="AA2199" t="str">
            <v>Республика Дагестан</v>
          </cell>
        </row>
        <row r="2200">
          <cell r="AA2200" t="str">
            <v>Республика Дагестан</v>
          </cell>
        </row>
        <row r="2201">
          <cell r="AA2201" t="str">
            <v>Республика Дагестан</v>
          </cell>
        </row>
        <row r="2202">
          <cell r="AA2202" t="str">
            <v>Республика Дагестан</v>
          </cell>
        </row>
        <row r="2203">
          <cell r="AA2203" t="str">
            <v>Республика Дагестан</v>
          </cell>
        </row>
        <row r="2204">
          <cell r="AA2204" t="str">
            <v>Республика Дагестан</v>
          </cell>
        </row>
        <row r="2205">
          <cell r="AA2205" t="str">
            <v>Республика Дагестан</v>
          </cell>
        </row>
        <row r="2206">
          <cell r="AA2206" t="str">
            <v>Республика Дагестан</v>
          </cell>
        </row>
        <row r="2207">
          <cell r="AA2207" t="str">
            <v>Республика Дагестан</v>
          </cell>
        </row>
        <row r="2208">
          <cell r="AA2208" t="str">
            <v>Республика Дагестан</v>
          </cell>
        </row>
        <row r="2209">
          <cell r="AA2209" t="str">
            <v>Республика Дагестан</v>
          </cell>
        </row>
        <row r="2210">
          <cell r="AA2210" t="str">
            <v>Республика Дагестан</v>
          </cell>
        </row>
        <row r="2211">
          <cell r="AA2211" t="str">
            <v>Республика Дагестан</v>
          </cell>
        </row>
        <row r="2212">
          <cell r="AA2212" t="str">
            <v>Республика Дагестан</v>
          </cell>
        </row>
        <row r="2213">
          <cell r="AA2213" t="str">
            <v>Республика Дагестан</v>
          </cell>
        </row>
        <row r="2214">
          <cell r="AA2214" t="str">
            <v>Республика Дагестан</v>
          </cell>
        </row>
        <row r="2215">
          <cell r="AA2215" t="str">
            <v>Республика Дагестан</v>
          </cell>
        </row>
        <row r="2216">
          <cell r="AA2216" t="str">
            <v>Республика Дагестан</v>
          </cell>
        </row>
        <row r="2217">
          <cell r="AA2217" t="str">
            <v>Республика Дагестан</v>
          </cell>
        </row>
        <row r="2218">
          <cell r="AA2218" t="str">
            <v>Республика Дагестан</v>
          </cell>
        </row>
        <row r="2219">
          <cell r="AA2219" t="str">
            <v>Республика Дагестан</v>
          </cell>
        </row>
        <row r="2220">
          <cell r="AA2220" t="str">
            <v>Республика Дагестан</v>
          </cell>
        </row>
        <row r="2221">
          <cell r="AA2221" t="str">
            <v>Республика Дагестан</v>
          </cell>
        </row>
        <row r="2222">
          <cell r="AA2222" t="str">
            <v>Республика Дагестан</v>
          </cell>
        </row>
        <row r="2223">
          <cell r="AA2223" t="str">
            <v>Республика Дагестан</v>
          </cell>
        </row>
        <row r="2224">
          <cell r="AA2224" t="str">
            <v>Республика Дагестан</v>
          </cell>
        </row>
        <row r="2225">
          <cell r="AA2225" t="str">
            <v>Республика Дагестан</v>
          </cell>
        </row>
        <row r="2226">
          <cell r="AA2226" t="str">
            <v>Республика Дагестан</v>
          </cell>
        </row>
        <row r="2227">
          <cell r="AA2227" t="str">
            <v>Республика Дагестан</v>
          </cell>
        </row>
        <row r="2228">
          <cell r="AA2228" t="str">
            <v>Республика Дагестан</v>
          </cell>
        </row>
        <row r="2229">
          <cell r="AA2229" t="str">
            <v>Республика Дагестан</v>
          </cell>
        </row>
        <row r="2230">
          <cell r="AA2230" t="str">
            <v>Республика Дагестан</v>
          </cell>
        </row>
        <row r="2231">
          <cell r="AA2231" t="str">
            <v>Республика Дагестан</v>
          </cell>
        </row>
        <row r="2232">
          <cell r="AA2232" t="str">
            <v>Республика Дагестан</v>
          </cell>
        </row>
        <row r="2233">
          <cell r="AA2233" t="str">
            <v>Республика Дагестан</v>
          </cell>
        </row>
        <row r="2234">
          <cell r="AA2234" t="str">
            <v>Республика Дагестан</v>
          </cell>
        </row>
        <row r="2235">
          <cell r="AA2235" t="str">
            <v>Республика Дагестан</v>
          </cell>
        </row>
        <row r="2236">
          <cell r="AA2236" t="str">
            <v>Республика Дагестан</v>
          </cell>
        </row>
        <row r="2237">
          <cell r="AA2237" t="str">
            <v>Республика Дагестан</v>
          </cell>
        </row>
        <row r="2238">
          <cell r="AA2238" t="str">
            <v>Республика Дагестан</v>
          </cell>
        </row>
        <row r="2239">
          <cell r="AA2239" t="str">
            <v>Республика Дагестан</v>
          </cell>
        </row>
        <row r="2240">
          <cell r="AA2240" t="str">
            <v>Республика Дагестан</v>
          </cell>
        </row>
        <row r="2241">
          <cell r="AA2241" t="str">
            <v>Республика Дагестан</v>
          </cell>
        </row>
        <row r="2242">
          <cell r="AA2242" t="str">
            <v>Республика Дагестан</v>
          </cell>
        </row>
        <row r="2243">
          <cell r="AA2243" t="str">
            <v>Республика Дагестан</v>
          </cell>
        </row>
        <row r="2244">
          <cell r="AA2244" t="str">
            <v>Республика Дагестан</v>
          </cell>
        </row>
        <row r="2245">
          <cell r="AA2245" t="str">
            <v>Республика Дагестан</v>
          </cell>
        </row>
        <row r="2246">
          <cell r="AA2246" t="str">
            <v>Республика Дагестан</v>
          </cell>
        </row>
        <row r="2247">
          <cell r="AA2247" t="str">
            <v>Республика Дагестан</v>
          </cell>
        </row>
        <row r="2248">
          <cell r="AA2248" t="str">
            <v>Республика Дагестан</v>
          </cell>
        </row>
        <row r="2249">
          <cell r="AA2249" t="str">
            <v>Республика Дагестан</v>
          </cell>
        </row>
        <row r="2250">
          <cell r="AA2250" t="str">
            <v>Республика Дагестан</v>
          </cell>
        </row>
        <row r="2251">
          <cell r="AA2251" t="str">
            <v>Республика Дагестан</v>
          </cell>
        </row>
        <row r="2252">
          <cell r="AA2252" t="str">
            <v>Республика Дагестан</v>
          </cell>
        </row>
        <row r="2253">
          <cell r="AA2253" t="str">
            <v>Республика Дагестан</v>
          </cell>
        </row>
        <row r="2254">
          <cell r="AA2254" t="str">
            <v>Республика Дагестан</v>
          </cell>
        </row>
        <row r="2255">
          <cell r="AA2255" t="str">
            <v>Республика Дагестан</v>
          </cell>
        </row>
        <row r="2256">
          <cell r="AA2256" t="str">
            <v>Республика Дагестан</v>
          </cell>
        </row>
        <row r="2257">
          <cell r="AA2257" t="str">
            <v>Республика Дагестан</v>
          </cell>
        </row>
        <row r="2258">
          <cell r="AA2258" t="str">
            <v>Республика Дагестан</v>
          </cell>
        </row>
        <row r="2259">
          <cell r="AA2259" t="str">
            <v>Республика Дагестан</v>
          </cell>
        </row>
        <row r="2260">
          <cell r="AA2260" t="str">
            <v>Республика Дагестан</v>
          </cell>
        </row>
        <row r="2261">
          <cell r="AA2261" t="str">
            <v>Республика Дагестан</v>
          </cell>
        </row>
        <row r="2262">
          <cell r="AA2262" t="str">
            <v>Республика Дагестан</v>
          </cell>
        </row>
        <row r="2263">
          <cell r="AA2263" t="str">
            <v>Республика Дагестан</v>
          </cell>
        </row>
        <row r="2264">
          <cell r="AA2264" t="str">
            <v>Республика Дагестан</v>
          </cell>
        </row>
        <row r="2265">
          <cell r="AA2265" t="str">
            <v>Республика Дагестан</v>
          </cell>
        </row>
        <row r="2266">
          <cell r="AA2266" t="str">
            <v>Республика Дагестан</v>
          </cell>
        </row>
        <row r="2267">
          <cell r="AA2267" t="str">
            <v>Республика Ингушетия</v>
          </cell>
        </row>
        <row r="2268">
          <cell r="AA2268" t="str">
            <v>Республика Ингушетия</v>
          </cell>
        </row>
        <row r="2269">
          <cell r="AA2269" t="str">
            <v>Республика Ингушетия</v>
          </cell>
        </row>
        <row r="2270">
          <cell r="AA2270" t="str">
            <v>Республика Ингушетия</v>
          </cell>
        </row>
        <row r="2271">
          <cell r="AA2271" t="str">
            <v>Республика Ингушетия</v>
          </cell>
        </row>
        <row r="2272">
          <cell r="AA2272" t="str">
            <v>Республика Ингушетия</v>
          </cell>
        </row>
        <row r="2273">
          <cell r="AA2273" t="str">
            <v>Республика Ингушетия</v>
          </cell>
        </row>
        <row r="2274">
          <cell r="AA2274" t="str">
            <v>Республика Ингушетия</v>
          </cell>
        </row>
        <row r="2275">
          <cell r="AA2275" t="str">
            <v>Республика Ингушетия</v>
          </cell>
        </row>
        <row r="2276">
          <cell r="AA2276" t="str">
            <v>Республика Ингушетия</v>
          </cell>
        </row>
        <row r="2277">
          <cell r="AA2277" t="str">
            <v>Республика Ингушетия</v>
          </cell>
        </row>
        <row r="2278">
          <cell r="AA2278" t="str">
            <v>Республика Калмыкия</v>
          </cell>
        </row>
        <row r="2279">
          <cell r="AA2279" t="str">
            <v>Республика Калмыкия</v>
          </cell>
        </row>
        <row r="2280">
          <cell r="AA2280" t="str">
            <v>Республика Калмыкия</v>
          </cell>
        </row>
        <row r="2281">
          <cell r="AA2281" t="str">
            <v>Республика Калмыкия</v>
          </cell>
        </row>
        <row r="2282">
          <cell r="AA2282" t="str">
            <v>Республика Калмыкия</v>
          </cell>
        </row>
        <row r="2283">
          <cell r="AA2283" t="str">
            <v>Республика Калмыкия</v>
          </cell>
        </row>
        <row r="2284">
          <cell r="AA2284" t="str">
            <v>Республика Калмыкия</v>
          </cell>
        </row>
        <row r="2285">
          <cell r="AA2285" t="str">
            <v>Республика Калмыкия</v>
          </cell>
        </row>
        <row r="2286">
          <cell r="AA2286" t="str">
            <v>Республика Калмыкия</v>
          </cell>
        </row>
        <row r="2287">
          <cell r="AA2287" t="str">
            <v>Республика Калмыкия</v>
          </cell>
        </row>
        <row r="2288">
          <cell r="AA2288" t="str">
            <v>Республика Калмыкия</v>
          </cell>
        </row>
        <row r="2289">
          <cell r="AA2289" t="str">
            <v>Республика Калмыкия</v>
          </cell>
        </row>
        <row r="2290">
          <cell r="AA2290" t="str">
            <v>Республика Калмыкия</v>
          </cell>
        </row>
        <row r="2291">
          <cell r="AA2291" t="str">
            <v>Республика Калмыкия</v>
          </cell>
        </row>
        <row r="2292">
          <cell r="AA2292" t="str">
            <v>Республика Калмыкия</v>
          </cell>
        </row>
        <row r="2293">
          <cell r="AA2293" t="str">
            <v>Республика Карелия</v>
          </cell>
        </row>
        <row r="2294">
          <cell r="AA2294" t="str">
            <v>Республика Карелия</v>
          </cell>
        </row>
        <row r="2295">
          <cell r="AA2295" t="str">
            <v>Республика Карелия</v>
          </cell>
        </row>
        <row r="2296">
          <cell r="AA2296" t="str">
            <v>Республика Карелия</v>
          </cell>
        </row>
        <row r="2297">
          <cell r="AA2297" t="str">
            <v>Республика Карелия</v>
          </cell>
        </row>
        <row r="2298">
          <cell r="AA2298" t="str">
            <v>Республика Карелия</v>
          </cell>
        </row>
        <row r="2299">
          <cell r="AA2299" t="str">
            <v>Республика Карелия</v>
          </cell>
        </row>
        <row r="2300">
          <cell r="AA2300" t="str">
            <v>Республика Карелия</v>
          </cell>
        </row>
        <row r="2301">
          <cell r="AA2301" t="str">
            <v>Республика Карелия</v>
          </cell>
        </row>
        <row r="2302">
          <cell r="AA2302" t="str">
            <v>Республика Карелия</v>
          </cell>
        </row>
        <row r="2303">
          <cell r="AA2303" t="str">
            <v>Республика Карелия</v>
          </cell>
        </row>
        <row r="2304">
          <cell r="AA2304" t="str">
            <v>Республика Карелия</v>
          </cell>
        </row>
        <row r="2305">
          <cell r="AA2305" t="str">
            <v>Республика Карелия</v>
          </cell>
        </row>
        <row r="2306">
          <cell r="AA2306" t="str">
            <v>Республика Карелия</v>
          </cell>
        </row>
        <row r="2307">
          <cell r="AA2307" t="str">
            <v>Республика Карелия</v>
          </cell>
        </row>
        <row r="2308">
          <cell r="AA2308" t="str">
            <v>Республика Карелия</v>
          </cell>
        </row>
        <row r="2309">
          <cell r="AA2309" t="str">
            <v>Республика Карелия</v>
          </cell>
        </row>
        <row r="2310">
          <cell r="AA2310" t="str">
            <v>Республика Карелия</v>
          </cell>
        </row>
        <row r="2311">
          <cell r="AA2311" t="str">
            <v>Республика Карелия</v>
          </cell>
        </row>
        <row r="2312">
          <cell r="AA2312" t="str">
            <v>Республика Карелия</v>
          </cell>
        </row>
        <row r="2313">
          <cell r="AA2313" t="str">
            <v>Республика Карелия</v>
          </cell>
        </row>
        <row r="2314">
          <cell r="AA2314" t="str">
            <v>Республика Карелия</v>
          </cell>
        </row>
        <row r="2315">
          <cell r="AA2315" t="str">
            <v>Республика Карелия</v>
          </cell>
        </row>
        <row r="2316">
          <cell r="AA2316" t="str">
            <v>Республика Карелия</v>
          </cell>
        </row>
        <row r="2317">
          <cell r="AA2317" t="str">
            <v>Республика Коми</v>
          </cell>
        </row>
        <row r="2318">
          <cell r="AA2318" t="str">
            <v>Республика Коми</v>
          </cell>
        </row>
        <row r="2319">
          <cell r="AA2319" t="str">
            <v>Республика Коми</v>
          </cell>
        </row>
        <row r="2320">
          <cell r="AA2320" t="str">
            <v>Республика Коми</v>
          </cell>
        </row>
        <row r="2321">
          <cell r="AA2321" t="str">
            <v>Республика Коми</v>
          </cell>
        </row>
        <row r="2322">
          <cell r="AA2322" t="str">
            <v>Республика Коми</v>
          </cell>
        </row>
        <row r="2323">
          <cell r="AA2323" t="str">
            <v>Республика Коми</v>
          </cell>
        </row>
        <row r="2324">
          <cell r="AA2324" t="str">
            <v>Республика Коми</v>
          </cell>
        </row>
        <row r="2325">
          <cell r="AA2325" t="str">
            <v>Республика Коми</v>
          </cell>
        </row>
        <row r="2326">
          <cell r="AA2326" t="str">
            <v>Республика Коми</v>
          </cell>
        </row>
        <row r="2327">
          <cell r="AA2327" t="str">
            <v>Республика Коми</v>
          </cell>
        </row>
        <row r="2328">
          <cell r="AA2328" t="str">
            <v>Республика Коми</v>
          </cell>
        </row>
        <row r="2329">
          <cell r="AA2329" t="str">
            <v>Республика Коми</v>
          </cell>
        </row>
        <row r="2330">
          <cell r="AA2330" t="str">
            <v>Республика Коми</v>
          </cell>
        </row>
        <row r="2331">
          <cell r="AA2331" t="str">
            <v>Республика Коми</v>
          </cell>
        </row>
        <row r="2332">
          <cell r="AA2332" t="str">
            <v>Республика Коми</v>
          </cell>
        </row>
        <row r="2333">
          <cell r="AA2333" t="str">
            <v>Республика Коми</v>
          </cell>
        </row>
        <row r="2334">
          <cell r="AA2334" t="str">
            <v>Республика Коми</v>
          </cell>
        </row>
        <row r="2335">
          <cell r="AA2335" t="str">
            <v>Республика Коми</v>
          </cell>
        </row>
        <row r="2336">
          <cell r="AA2336" t="str">
            <v>Республика Коми</v>
          </cell>
        </row>
        <row r="2337">
          <cell r="AA2337" t="str">
            <v>Республика Коми</v>
          </cell>
        </row>
        <row r="2338">
          <cell r="AA2338" t="str">
            <v>Республика Коми</v>
          </cell>
        </row>
        <row r="2339">
          <cell r="AA2339" t="str">
            <v>Республика Коми</v>
          </cell>
        </row>
        <row r="2340">
          <cell r="AA2340" t="str">
            <v>Республика Коми</v>
          </cell>
        </row>
        <row r="2341">
          <cell r="AA2341" t="str">
            <v>Республика Коми</v>
          </cell>
        </row>
        <row r="2342">
          <cell r="AA2342" t="str">
            <v>Республика Коми</v>
          </cell>
        </row>
        <row r="2343">
          <cell r="AA2343" t="str">
            <v>Республика Коми</v>
          </cell>
        </row>
        <row r="2344">
          <cell r="AA2344" t="str">
            <v>Республика Коми</v>
          </cell>
        </row>
        <row r="2345">
          <cell r="AA2345" t="str">
            <v>Республика Коми</v>
          </cell>
        </row>
        <row r="2346">
          <cell r="AA2346" t="str">
            <v>Республика Коми</v>
          </cell>
        </row>
        <row r="2347">
          <cell r="AA2347" t="str">
            <v>Республика Коми</v>
          </cell>
        </row>
        <row r="2348">
          <cell r="AA2348" t="str">
            <v>Республика Коми</v>
          </cell>
        </row>
        <row r="2349">
          <cell r="AA2349" t="str">
            <v>Республика Коми</v>
          </cell>
        </row>
        <row r="2350">
          <cell r="AA2350" t="str">
            <v>Республика Коми</v>
          </cell>
        </row>
        <row r="2351">
          <cell r="AA2351" t="str">
            <v>Республика Коми</v>
          </cell>
        </row>
        <row r="2352">
          <cell r="AA2352" t="str">
            <v>Республика Крым</v>
          </cell>
        </row>
        <row r="2353">
          <cell r="AA2353" t="str">
            <v>Республика Крым</v>
          </cell>
        </row>
        <row r="2354">
          <cell r="AA2354" t="str">
            <v>Республика Крым</v>
          </cell>
        </row>
        <row r="2355">
          <cell r="AA2355" t="str">
            <v>Республика Крым</v>
          </cell>
        </row>
        <row r="2356">
          <cell r="AA2356" t="str">
            <v>Республика Крым</v>
          </cell>
        </row>
        <row r="2357">
          <cell r="AA2357" t="str">
            <v>Республика Крым</v>
          </cell>
        </row>
        <row r="2358">
          <cell r="AA2358" t="str">
            <v>Республика Крым</v>
          </cell>
        </row>
        <row r="2359">
          <cell r="AA2359" t="str">
            <v>Республика Крым</v>
          </cell>
        </row>
        <row r="2360">
          <cell r="AA2360" t="str">
            <v>Республика Крым</v>
          </cell>
        </row>
        <row r="2361">
          <cell r="AA2361" t="str">
            <v>Республика Крым</v>
          </cell>
        </row>
        <row r="2362">
          <cell r="AA2362" t="str">
            <v>Республика Крым</v>
          </cell>
        </row>
        <row r="2363">
          <cell r="AA2363" t="str">
            <v>Республика Крым</v>
          </cell>
        </row>
        <row r="2364">
          <cell r="AA2364" t="str">
            <v>Республика Крым</v>
          </cell>
        </row>
        <row r="2365">
          <cell r="AA2365" t="str">
            <v>Республика Крым</v>
          </cell>
        </row>
        <row r="2366">
          <cell r="AA2366" t="str">
            <v>Республика Крым</v>
          </cell>
        </row>
        <row r="2367">
          <cell r="AA2367" t="str">
            <v>Республика Крым</v>
          </cell>
        </row>
        <row r="2368">
          <cell r="AA2368" t="str">
            <v>Республика Крым</v>
          </cell>
        </row>
        <row r="2369">
          <cell r="AA2369" t="str">
            <v>Республика Крым</v>
          </cell>
        </row>
        <row r="2370">
          <cell r="AA2370" t="str">
            <v>Республика Крым</v>
          </cell>
        </row>
        <row r="2371">
          <cell r="AA2371" t="str">
            <v>Республика Крым</v>
          </cell>
        </row>
        <row r="2372">
          <cell r="AA2372" t="str">
            <v>Республика Крым</v>
          </cell>
        </row>
        <row r="2373">
          <cell r="AA2373" t="str">
            <v>Республика Крым</v>
          </cell>
        </row>
        <row r="2374">
          <cell r="AA2374" t="str">
            <v>Республика Крым</v>
          </cell>
        </row>
        <row r="2375">
          <cell r="AA2375" t="str">
            <v>Республика Крым</v>
          </cell>
        </row>
        <row r="2376">
          <cell r="AA2376" t="str">
            <v>Республика Крым</v>
          </cell>
        </row>
        <row r="2377">
          <cell r="AA2377" t="str">
            <v>Республика Крым</v>
          </cell>
        </row>
        <row r="2378">
          <cell r="AA2378" t="str">
            <v>Республика Крым</v>
          </cell>
        </row>
        <row r="2379">
          <cell r="AA2379" t="str">
            <v>Республика Крым</v>
          </cell>
        </row>
        <row r="2380">
          <cell r="AA2380" t="str">
            <v>Республика Крым</v>
          </cell>
        </row>
        <row r="2381">
          <cell r="AA2381" t="str">
            <v>Республика Крым</v>
          </cell>
        </row>
        <row r="2382">
          <cell r="AA2382" t="str">
            <v>Республика Крым</v>
          </cell>
        </row>
        <row r="2383">
          <cell r="AA2383" t="str">
            <v>Республика Крым</v>
          </cell>
        </row>
        <row r="2384">
          <cell r="AA2384" t="str">
            <v>Республика Крым</v>
          </cell>
        </row>
        <row r="2385">
          <cell r="AA2385" t="str">
            <v>Республика Крым</v>
          </cell>
        </row>
        <row r="2386">
          <cell r="AA2386" t="str">
            <v>Республика Крым</v>
          </cell>
        </row>
        <row r="2387">
          <cell r="AA2387" t="str">
            <v>Республика Крым</v>
          </cell>
        </row>
        <row r="2388">
          <cell r="AA2388" t="str">
            <v>Республика Марий Эл</v>
          </cell>
        </row>
        <row r="2389">
          <cell r="AA2389" t="str">
            <v>Республика Марий Эл</v>
          </cell>
        </row>
        <row r="2390">
          <cell r="AA2390" t="str">
            <v>Республика Марий Эл</v>
          </cell>
        </row>
        <row r="2391">
          <cell r="AA2391" t="str">
            <v>Республика Марий Эл</v>
          </cell>
        </row>
        <row r="2392">
          <cell r="AA2392" t="str">
            <v>Республика Марий Эл</v>
          </cell>
        </row>
        <row r="2393">
          <cell r="AA2393" t="str">
            <v>Республика Марий Эл</v>
          </cell>
        </row>
        <row r="2394">
          <cell r="AA2394" t="str">
            <v>Республика Марий Эл</v>
          </cell>
        </row>
        <row r="2395">
          <cell r="AA2395" t="str">
            <v>Республика Марий Эл</v>
          </cell>
        </row>
        <row r="2396">
          <cell r="AA2396" t="str">
            <v>Республика Марий Эл</v>
          </cell>
        </row>
        <row r="2397">
          <cell r="AA2397" t="str">
            <v>Республика Марий Эл</v>
          </cell>
        </row>
        <row r="2398">
          <cell r="AA2398" t="str">
            <v>Республика Марий Эл</v>
          </cell>
        </row>
        <row r="2399">
          <cell r="AA2399" t="str">
            <v>Республика Марий Эл</v>
          </cell>
        </row>
        <row r="2400">
          <cell r="AA2400" t="str">
            <v>Республика Марий Эл</v>
          </cell>
        </row>
        <row r="2401">
          <cell r="AA2401" t="str">
            <v>Республика Марий Эл</v>
          </cell>
        </row>
        <row r="2402">
          <cell r="AA2402" t="str">
            <v>Республика Марий Эл</v>
          </cell>
        </row>
        <row r="2403">
          <cell r="AA2403" t="str">
            <v>Республика Марий Эл</v>
          </cell>
        </row>
        <row r="2404">
          <cell r="AA2404" t="str">
            <v>Республика Марий Эл</v>
          </cell>
        </row>
        <row r="2405">
          <cell r="AA2405" t="str">
            <v>Республика Марий Эл</v>
          </cell>
        </row>
        <row r="2406">
          <cell r="AA2406" t="str">
            <v>Республика Марий Эл</v>
          </cell>
        </row>
        <row r="2407">
          <cell r="AA2407" t="str">
            <v>Республика Марий Эл</v>
          </cell>
        </row>
        <row r="2408">
          <cell r="AA2408" t="str">
            <v>Республика Мордовия</v>
          </cell>
        </row>
        <row r="2409">
          <cell r="AA2409" t="str">
            <v>Республика Мордовия</v>
          </cell>
        </row>
        <row r="2410">
          <cell r="AA2410" t="str">
            <v>Республика Мордовия</v>
          </cell>
        </row>
        <row r="2411">
          <cell r="AA2411" t="str">
            <v>Республика Мордовия</v>
          </cell>
        </row>
        <row r="2412">
          <cell r="AA2412" t="str">
            <v>Республика Мордовия</v>
          </cell>
        </row>
        <row r="2413">
          <cell r="AA2413" t="str">
            <v>Республика Мордовия</v>
          </cell>
        </row>
        <row r="2414">
          <cell r="AA2414" t="str">
            <v>Республика Мордовия</v>
          </cell>
        </row>
        <row r="2415">
          <cell r="AA2415" t="str">
            <v>Республика Мордовия</v>
          </cell>
        </row>
        <row r="2416">
          <cell r="AA2416" t="str">
            <v>Республика Мордовия</v>
          </cell>
        </row>
        <row r="2417">
          <cell r="AA2417" t="str">
            <v>Республика Мордовия</v>
          </cell>
        </row>
        <row r="2418">
          <cell r="AA2418" t="str">
            <v>Республика Мордовия</v>
          </cell>
        </row>
        <row r="2419">
          <cell r="AA2419" t="str">
            <v>Республика Мордовия</v>
          </cell>
        </row>
        <row r="2420">
          <cell r="AA2420" t="str">
            <v>Республика Мордовия</v>
          </cell>
        </row>
        <row r="2421">
          <cell r="AA2421" t="str">
            <v>Республика Мордовия</v>
          </cell>
        </row>
        <row r="2422">
          <cell r="AA2422" t="str">
            <v>Республика Мордовия</v>
          </cell>
        </row>
        <row r="2423">
          <cell r="AA2423" t="str">
            <v>Республика Мордовия</v>
          </cell>
        </row>
        <row r="2424">
          <cell r="AA2424" t="str">
            <v>Республика Мордовия</v>
          </cell>
        </row>
        <row r="2425">
          <cell r="AA2425" t="str">
            <v>Республика Мордовия</v>
          </cell>
        </row>
        <row r="2426">
          <cell r="AA2426" t="str">
            <v>Республика Мордовия</v>
          </cell>
        </row>
        <row r="2427">
          <cell r="AA2427" t="str">
            <v>Республика Мордовия</v>
          </cell>
        </row>
        <row r="2428">
          <cell r="AA2428" t="str">
            <v>Республика Мордовия</v>
          </cell>
        </row>
        <row r="2429">
          <cell r="AA2429" t="str">
            <v>Республика Мордовия</v>
          </cell>
        </row>
        <row r="2430">
          <cell r="AA2430" t="str">
            <v>Республика Мордовия</v>
          </cell>
        </row>
        <row r="2431">
          <cell r="AA2431" t="str">
            <v>Республика Мордовия</v>
          </cell>
        </row>
        <row r="2432">
          <cell r="AA2432" t="str">
            <v>Республика Мордовия</v>
          </cell>
        </row>
        <row r="2433">
          <cell r="AA2433" t="str">
            <v>Республика Мордовия</v>
          </cell>
        </row>
        <row r="2434">
          <cell r="AA2434" t="str">
            <v>Республика Мордовия</v>
          </cell>
        </row>
        <row r="2435">
          <cell r="AA2435" t="str">
            <v>Республика Мордовия</v>
          </cell>
        </row>
        <row r="2436">
          <cell r="AA2436" t="str">
            <v>Республика Саха (Якутия)</v>
          </cell>
        </row>
        <row r="2437">
          <cell r="AA2437" t="str">
            <v>Республика Саха (Якутия)</v>
          </cell>
        </row>
        <row r="2438">
          <cell r="AA2438" t="str">
            <v>Республика Саха (Якутия)</v>
          </cell>
        </row>
        <row r="2439">
          <cell r="AA2439" t="str">
            <v>Республика Саха (Якутия)</v>
          </cell>
        </row>
        <row r="2440">
          <cell r="AA2440" t="str">
            <v>Республика Саха (Якутия)</v>
          </cell>
        </row>
        <row r="2441">
          <cell r="AA2441" t="str">
            <v>Республика Саха (Якутия)</v>
          </cell>
        </row>
        <row r="2442">
          <cell r="AA2442" t="str">
            <v>Республика Саха (Якутия)</v>
          </cell>
        </row>
        <row r="2443">
          <cell r="AA2443" t="str">
            <v>Республика Саха (Якутия)</v>
          </cell>
        </row>
        <row r="2444">
          <cell r="AA2444" t="str">
            <v>Республика Саха (Якутия)</v>
          </cell>
        </row>
        <row r="2445">
          <cell r="AA2445" t="str">
            <v>Республика Саха (Якутия)</v>
          </cell>
        </row>
        <row r="2446">
          <cell r="AA2446" t="str">
            <v>Республика Саха (Якутия)</v>
          </cell>
        </row>
        <row r="2447">
          <cell r="AA2447" t="str">
            <v>Республика Саха (Якутия)</v>
          </cell>
        </row>
        <row r="2448">
          <cell r="AA2448" t="str">
            <v>Республика Саха (Якутия)</v>
          </cell>
        </row>
        <row r="2449">
          <cell r="AA2449" t="str">
            <v>Республика Саха (Якутия)</v>
          </cell>
        </row>
        <row r="2450">
          <cell r="AA2450" t="str">
            <v>Республика Саха (Якутия)</v>
          </cell>
        </row>
        <row r="2451">
          <cell r="AA2451" t="str">
            <v>Республика Саха (Якутия)</v>
          </cell>
        </row>
        <row r="2452">
          <cell r="AA2452" t="str">
            <v>Республика Саха (Якутия)</v>
          </cell>
        </row>
        <row r="2453">
          <cell r="AA2453" t="str">
            <v>Республика Саха (Якутия)</v>
          </cell>
        </row>
        <row r="2454">
          <cell r="AA2454" t="str">
            <v>Республика Саха (Якутия)</v>
          </cell>
        </row>
        <row r="2455">
          <cell r="AA2455" t="str">
            <v>Республика Саха (Якутия)</v>
          </cell>
        </row>
        <row r="2456">
          <cell r="AA2456" t="str">
            <v>Республика Саха (Якутия)</v>
          </cell>
        </row>
        <row r="2457">
          <cell r="AA2457" t="str">
            <v>Республика Саха (Якутия)</v>
          </cell>
        </row>
        <row r="2458">
          <cell r="AA2458" t="str">
            <v>Республика Саха (Якутия)</v>
          </cell>
        </row>
        <row r="2459">
          <cell r="AA2459" t="str">
            <v>Республика Саха (Якутия)</v>
          </cell>
        </row>
        <row r="2460">
          <cell r="AA2460" t="str">
            <v>Республика Саха (Якутия)</v>
          </cell>
        </row>
        <row r="2461">
          <cell r="AA2461" t="str">
            <v>Республика Саха (Якутия)</v>
          </cell>
        </row>
        <row r="2462">
          <cell r="AA2462" t="str">
            <v>Республика Саха (Якутия)</v>
          </cell>
        </row>
        <row r="2463">
          <cell r="AA2463" t="str">
            <v>Республика Саха (Якутия)</v>
          </cell>
        </row>
        <row r="2464">
          <cell r="AA2464" t="str">
            <v>Республика Саха (Якутия)</v>
          </cell>
        </row>
        <row r="2465">
          <cell r="AA2465" t="str">
            <v>Республика Саха (Якутия)</v>
          </cell>
        </row>
        <row r="2466">
          <cell r="AA2466" t="str">
            <v>Республика Саха (Якутия)</v>
          </cell>
        </row>
        <row r="2467">
          <cell r="AA2467" t="str">
            <v>Республика Саха (Якутия)</v>
          </cell>
        </row>
        <row r="2468">
          <cell r="AA2468" t="str">
            <v>Республика Саха (Якутия)</v>
          </cell>
        </row>
        <row r="2469">
          <cell r="AA2469" t="str">
            <v>Республика Саха (Якутия)</v>
          </cell>
        </row>
        <row r="2470">
          <cell r="AA2470" t="str">
            <v>Республика Саха (Якутия)</v>
          </cell>
        </row>
        <row r="2471">
          <cell r="AA2471" t="str">
            <v>Республика Саха (Якутия)</v>
          </cell>
        </row>
        <row r="2472">
          <cell r="AA2472" t="str">
            <v>Республика Саха (Якутия)</v>
          </cell>
        </row>
        <row r="2473">
          <cell r="AA2473" t="str">
            <v>Республика Саха (Якутия)</v>
          </cell>
        </row>
        <row r="2474">
          <cell r="AA2474" t="str">
            <v>Республика Саха (Якутия)</v>
          </cell>
        </row>
        <row r="2475">
          <cell r="AA2475" t="str">
            <v>Республика Саха (Якутия)</v>
          </cell>
        </row>
        <row r="2476">
          <cell r="AA2476" t="str">
            <v>Республика Саха (Якутия)</v>
          </cell>
        </row>
        <row r="2477">
          <cell r="AA2477" t="str">
            <v>Республика Саха (Якутия)</v>
          </cell>
        </row>
        <row r="2478">
          <cell r="AA2478" t="str">
            <v>Республика Саха (Якутия)</v>
          </cell>
        </row>
        <row r="2479">
          <cell r="AA2479" t="str">
            <v>Республика Саха (Якутия)</v>
          </cell>
        </row>
        <row r="2480">
          <cell r="AA2480" t="str">
            <v>Республика Саха (Якутия)</v>
          </cell>
        </row>
        <row r="2481">
          <cell r="AA2481" t="str">
            <v>Республика Северная Осетия- Алания</v>
          </cell>
        </row>
        <row r="2482">
          <cell r="AA2482" t="str">
            <v>Республика Северная Осетия- Алания</v>
          </cell>
        </row>
        <row r="2483">
          <cell r="AA2483" t="str">
            <v>Республика Северная Осетия- Алания</v>
          </cell>
        </row>
        <row r="2484">
          <cell r="AA2484" t="str">
            <v>Республика Северная Осетия- Алания</v>
          </cell>
        </row>
        <row r="2485">
          <cell r="AA2485" t="str">
            <v>Республика Северная Осетия- Алания</v>
          </cell>
        </row>
        <row r="2486">
          <cell r="AA2486" t="str">
            <v>Республика Северная Осетия- Алания</v>
          </cell>
        </row>
        <row r="2487">
          <cell r="AA2487" t="str">
            <v>Республика Северная Осетия- Алания</v>
          </cell>
        </row>
        <row r="2488">
          <cell r="AA2488" t="str">
            <v>Республика Северная Осетия- Алания</v>
          </cell>
        </row>
        <row r="2489">
          <cell r="AA2489" t="str">
            <v>Республика Северная Осетия- Алания</v>
          </cell>
        </row>
        <row r="2490">
          <cell r="AA2490" t="str">
            <v>Республика Северная Осетия- Алания</v>
          </cell>
        </row>
        <row r="2491">
          <cell r="AA2491" t="str">
            <v>Республика Северная Осетия- Алания</v>
          </cell>
        </row>
        <row r="2492">
          <cell r="AA2492" t="str">
            <v>Республика Северная Осетия- Алания</v>
          </cell>
        </row>
        <row r="2493">
          <cell r="AA2493" t="str">
            <v>Республика Северная Осетия- Алания</v>
          </cell>
        </row>
        <row r="2494">
          <cell r="AA2494" t="str">
            <v>Республика Северная Осетия- Алания</v>
          </cell>
        </row>
        <row r="2495">
          <cell r="AA2495" t="str">
            <v>Республика Северная Осетия- Алания</v>
          </cell>
        </row>
        <row r="2496">
          <cell r="AA2496" t="str">
            <v>Республика Северная Осетия- Алания</v>
          </cell>
        </row>
        <row r="2497">
          <cell r="AA2497" t="str">
            <v>Республика Татарстан(Татарстан)</v>
          </cell>
        </row>
        <row r="2498">
          <cell r="AA2498" t="str">
            <v>Республика Татарстан(Татарстан)</v>
          </cell>
        </row>
        <row r="2499">
          <cell r="AA2499" t="str">
            <v>Республика Татарстан(Татарстан)</v>
          </cell>
        </row>
        <row r="2500">
          <cell r="AA2500" t="str">
            <v>Республика Татарстан(Татарстан)</v>
          </cell>
        </row>
        <row r="2501">
          <cell r="AA2501" t="str">
            <v>Республика Татарстан(Татарстан)</v>
          </cell>
        </row>
        <row r="2502">
          <cell r="AA2502" t="str">
            <v>Республика Татарстан(Татарстан)</v>
          </cell>
        </row>
        <row r="2503">
          <cell r="AA2503" t="str">
            <v>Республика Татарстан(Татарстан)</v>
          </cell>
        </row>
        <row r="2504">
          <cell r="AA2504" t="str">
            <v>Республика Татарстан(Татарстан)</v>
          </cell>
        </row>
        <row r="2505">
          <cell r="AA2505" t="str">
            <v>Республика Татарстан(Татарстан)</v>
          </cell>
        </row>
        <row r="2506">
          <cell r="AA2506" t="str">
            <v>Республика Татарстан(Татарстан)</v>
          </cell>
        </row>
        <row r="2507">
          <cell r="AA2507" t="str">
            <v>Республика Татарстан(Татарстан)</v>
          </cell>
        </row>
        <row r="2508">
          <cell r="AA2508" t="str">
            <v>Республика Татарстан(Татарстан)</v>
          </cell>
        </row>
        <row r="2509">
          <cell r="AA2509" t="str">
            <v>Республика Татарстан(Татарстан)</v>
          </cell>
        </row>
        <row r="2510">
          <cell r="AA2510" t="str">
            <v>Республика Татарстан(Татарстан)</v>
          </cell>
        </row>
        <row r="2511">
          <cell r="AA2511" t="str">
            <v>Республика Татарстан(Татарстан)</v>
          </cell>
        </row>
        <row r="2512">
          <cell r="AA2512" t="str">
            <v>Республика Татарстан(Татарстан)</v>
          </cell>
        </row>
        <row r="2513">
          <cell r="AA2513" t="str">
            <v>Республика Татарстан(Татарстан)</v>
          </cell>
        </row>
        <row r="2514">
          <cell r="AA2514" t="str">
            <v>Республика Татарстан(Татарстан)</v>
          </cell>
        </row>
        <row r="2515">
          <cell r="AA2515" t="str">
            <v>Республика Татарстан(Татарстан)</v>
          </cell>
        </row>
        <row r="2516">
          <cell r="AA2516" t="str">
            <v>Республика Татарстан(Татарстан)</v>
          </cell>
        </row>
        <row r="2517">
          <cell r="AA2517" t="str">
            <v>Республика Татарстан(Татарстан)</v>
          </cell>
        </row>
        <row r="2518">
          <cell r="AA2518" t="str">
            <v>Республика Татарстан(Татарстан)</v>
          </cell>
        </row>
        <row r="2519">
          <cell r="AA2519" t="str">
            <v>Республика Татарстан(Татарстан)</v>
          </cell>
        </row>
        <row r="2520">
          <cell r="AA2520" t="str">
            <v>Республика Татарстан(Татарстан)</v>
          </cell>
        </row>
        <row r="2521">
          <cell r="AA2521" t="str">
            <v>Республика Татарстан(Татарстан)</v>
          </cell>
        </row>
        <row r="2522">
          <cell r="AA2522" t="str">
            <v>Республика Татарстан(Татарстан)</v>
          </cell>
        </row>
        <row r="2523">
          <cell r="AA2523" t="str">
            <v>Республика Татарстан(Татарстан)</v>
          </cell>
        </row>
        <row r="2524">
          <cell r="AA2524" t="str">
            <v>Республика Татарстан(Татарстан)</v>
          </cell>
        </row>
        <row r="2525">
          <cell r="AA2525" t="str">
            <v>Республика Татарстан(Татарстан)</v>
          </cell>
        </row>
        <row r="2526">
          <cell r="AA2526" t="str">
            <v>Республика Татарстан(Татарстан)</v>
          </cell>
        </row>
        <row r="2527">
          <cell r="AA2527" t="str">
            <v>Республика Татарстан(Татарстан)</v>
          </cell>
        </row>
        <row r="2528">
          <cell r="AA2528" t="str">
            <v>Республика Татарстан(Татарстан)</v>
          </cell>
        </row>
        <row r="2529">
          <cell r="AA2529" t="str">
            <v>Республика Татарстан(Татарстан)</v>
          </cell>
        </row>
        <row r="2530">
          <cell r="AA2530" t="str">
            <v>Республика Татарстан(Татарстан)</v>
          </cell>
        </row>
        <row r="2531">
          <cell r="AA2531" t="str">
            <v>Республика Татарстан(Татарстан)</v>
          </cell>
        </row>
        <row r="2532">
          <cell r="AA2532" t="str">
            <v>Республика Татарстан(Татарстан)</v>
          </cell>
        </row>
        <row r="2533">
          <cell r="AA2533" t="str">
            <v>Республика Татарстан(Татарстан)</v>
          </cell>
        </row>
        <row r="2534">
          <cell r="AA2534" t="str">
            <v>Республика Татарстан(Татарстан)</v>
          </cell>
        </row>
        <row r="2535">
          <cell r="AA2535" t="str">
            <v>Республика Татарстан(Татарстан)</v>
          </cell>
        </row>
        <row r="2536">
          <cell r="AA2536" t="str">
            <v>Республика Татарстан(Татарстан)</v>
          </cell>
        </row>
        <row r="2537">
          <cell r="AA2537" t="str">
            <v>Республика Татарстан(Татарстан)</v>
          </cell>
        </row>
        <row r="2538">
          <cell r="AA2538" t="str">
            <v>Республика Татарстан(Татарстан)</v>
          </cell>
        </row>
        <row r="2539">
          <cell r="AA2539" t="str">
            <v>Республика Татарстан(Татарстан)</v>
          </cell>
        </row>
        <row r="2540">
          <cell r="AA2540" t="str">
            <v>Республика Татарстан(Татарстан)</v>
          </cell>
        </row>
        <row r="2541">
          <cell r="AA2541" t="str">
            <v>Республика Татарстан(Татарстан)</v>
          </cell>
        </row>
        <row r="2542">
          <cell r="AA2542" t="str">
            <v>Республика Татарстан(Татарстан)</v>
          </cell>
        </row>
        <row r="2543">
          <cell r="AA2543" t="str">
            <v>Республика Татарстан(Татарстан)</v>
          </cell>
        </row>
        <row r="2544">
          <cell r="AA2544" t="str">
            <v>Республика Татарстан(Татарстан)</v>
          </cell>
        </row>
        <row r="2545">
          <cell r="AA2545" t="str">
            <v>Республика Татарстан(Татарстан)</v>
          </cell>
        </row>
        <row r="2546">
          <cell r="AA2546" t="str">
            <v>Республика Татарстан(Татарстан)</v>
          </cell>
        </row>
        <row r="2547">
          <cell r="AA2547" t="str">
            <v>Республика Татарстан(Татарстан)</v>
          </cell>
        </row>
        <row r="2548">
          <cell r="AA2548" t="str">
            <v>Республика Татарстан(Татарстан)</v>
          </cell>
        </row>
        <row r="2549">
          <cell r="AA2549" t="str">
            <v>Республика Татарстан(Татарстан)</v>
          </cell>
        </row>
        <row r="2550">
          <cell r="AA2550" t="str">
            <v>Республика Татарстан(Татарстан)</v>
          </cell>
        </row>
        <row r="2551">
          <cell r="AA2551" t="str">
            <v>Республика Татарстан(Татарстан)</v>
          </cell>
        </row>
        <row r="2552">
          <cell r="AA2552" t="str">
            <v>Республика Татарстан(Татарстан)</v>
          </cell>
        </row>
        <row r="2553">
          <cell r="AA2553" t="str">
            <v>Республика Татарстан(Татарстан)</v>
          </cell>
        </row>
        <row r="2554">
          <cell r="AA2554" t="str">
            <v>Республика Татарстан(Татарстан)</v>
          </cell>
        </row>
        <row r="2555">
          <cell r="AA2555" t="str">
            <v>Республика Татарстан(Татарстан)</v>
          </cell>
        </row>
        <row r="2556">
          <cell r="AA2556" t="str">
            <v>Республика Татарстан(Татарстан)</v>
          </cell>
        </row>
        <row r="2557">
          <cell r="AA2557" t="str">
            <v>Республика Татарстан(Татарстан)</v>
          </cell>
        </row>
        <row r="2558">
          <cell r="AA2558" t="str">
            <v>Республика Татарстан(Татарстан)</v>
          </cell>
        </row>
        <row r="2559">
          <cell r="AA2559" t="str">
            <v>Республика Татарстан(Татарстан)</v>
          </cell>
        </row>
        <row r="2560">
          <cell r="AA2560" t="str">
            <v>Республика Татарстан(Татарстан)</v>
          </cell>
        </row>
        <row r="2561">
          <cell r="AA2561" t="str">
            <v>Республика Татарстан(Татарстан)</v>
          </cell>
        </row>
        <row r="2562">
          <cell r="AA2562" t="str">
            <v>Республика Татарстан(Татарстан)</v>
          </cell>
        </row>
        <row r="2563">
          <cell r="AA2563" t="str">
            <v>Республика Татарстан(Татарстан)</v>
          </cell>
        </row>
        <row r="2564">
          <cell r="AA2564" t="str">
            <v>Республика Татарстан(Татарстан)</v>
          </cell>
        </row>
        <row r="2565">
          <cell r="AA2565" t="str">
            <v>Республика Татарстан(Татарстан)</v>
          </cell>
        </row>
        <row r="2566">
          <cell r="AA2566" t="str">
            <v>Республика Татарстан(Татарстан)</v>
          </cell>
        </row>
        <row r="2567">
          <cell r="AA2567" t="str">
            <v>Республика Татарстан(Татарстан)</v>
          </cell>
        </row>
        <row r="2568">
          <cell r="AA2568" t="str">
            <v>Республика Татарстан(Татарстан)</v>
          </cell>
        </row>
        <row r="2569">
          <cell r="AA2569" t="str">
            <v>Республика Татарстан(Татарстан)</v>
          </cell>
        </row>
        <row r="2570">
          <cell r="AA2570" t="str">
            <v>Республика Татарстан(Татарстан)</v>
          </cell>
        </row>
        <row r="2571">
          <cell r="AA2571" t="str">
            <v>Республика Татарстан(Татарстан)</v>
          </cell>
        </row>
        <row r="2572">
          <cell r="AA2572" t="str">
            <v>Республика Татарстан(Татарстан)</v>
          </cell>
        </row>
        <row r="2573">
          <cell r="AA2573" t="str">
            <v>Республика Татарстан(Татарстан)</v>
          </cell>
        </row>
        <row r="2574">
          <cell r="AA2574" t="str">
            <v>Республика Татарстан(Татарстан)</v>
          </cell>
        </row>
        <row r="2575">
          <cell r="AA2575" t="str">
            <v>Республика Татарстан(Татарстан)</v>
          </cell>
        </row>
        <row r="2576">
          <cell r="AA2576" t="str">
            <v>Республика Татарстан(Татарстан)</v>
          </cell>
        </row>
        <row r="2577">
          <cell r="AA2577" t="str">
            <v>Республика Татарстан(Татарстан)</v>
          </cell>
        </row>
        <row r="2578">
          <cell r="AA2578" t="str">
            <v>Республика Татарстан(Татарстан)</v>
          </cell>
        </row>
        <row r="2579">
          <cell r="AA2579" t="str">
            <v>Республика Татарстан(Татарстан)</v>
          </cell>
        </row>
        <row r="2580">
          <cell r="AA2580" t="str">
            <v>Республика Татарстан(Татарстан)</v>
          </cell>
        </row>
        <row r="2581">
          <cell r="AA2581" t="str">
            <v>Республика Татарстан(Татарстан)</v>
          </cell>
        </row>
        <row r="2582">
          <cell r="AA2582" t="str">
            <v>Республика Татарстан(Татарстан)</v>
          </cell>
        </row>
        <row r="2583">
          <cell r="AA2583" t="str">
            <v>Республика Тыва</v>
          </cell>
        </row>
        <row r="2584">
          <cell r="AA2584" t="str">
            <v>Республика Тыва</v>
          </cell>
        </row>
        <row r="2585">
          <cell r="AA2585" t="str">
            <v>Республика Тыва</v>
          </cell>
        </row>
        <row r="2586">
          <cell r="AA2586" t="str">
            <v>Республика Тыва</v>
          </cell>
        </row>
        <row r="2587">
          <cell r="AA2587" t="str">
            <v>Республика Тыва</v>
          </cell>
        </row>
        <row r="2588">
          <cell r="AA2588" t="str">
            <v>Республика Тыва</v>
          </cell>
        </row>
        <row r="2589">
          <cell r="AA2589" t="str">
            <v>Республика Тыва</v>
          </cell>
        </row>
        <row r="2590">
          <cell r="AA2590" t="str">
            <v>Республика Тыва</v>
          </cell>
        </row>
        <row r="2591">
          <cell r="AA2591" t="str">
            <v>Республика Тыва</v>
          </cell>
        </row>
        <row r="2592">
          <cell r="AA2592" t="str">
            <v>Республика Тыва</v>
          </cell>
        </row>
        <row r="2593">
          <cell r="AA2593" t="str">
            <v>Республика Тыва</v>
          </cell>
        </row>
        <row r="2594">
          <cell r="AA2594" t="str">
            <v>Республика Тыва</v>
          </cell>
        </row>
        <row r="2595">
          <cell r="AA2595" t="str">
            <v>Республика Тыва</v>
          </cell>
        </row>
        <row r="2596">
          <cell r="AA2596" t="str">
            <v>Республика Тыва</v>
          </cell>
        </row>
        <row r="2597">
          <cell r="AA2597" t="str">
            <v>Республика Тыва</v>
          </cell>
        </row>
        <row r="2598">
          <cell r="AA2598" t="str">
            <v>Республика Тыва</v>
          </cell>
        </row>
        <row r="2599">
          <cell r="AA2599" t="str">
            <v>Республика Тыва</v>
          </cell>
        </row>
        <row r="2600">
          <cell r="AA2600" t="str">
            <v>Республика Тыва</v>
          </cell>
        </row>
        <row r="2601">
          <cell r="AA2601" t="str">
            <v>Республика Тыва</v>
          </cell>
        </row>
        <row r="2602">
          <cell r="AA2602" t="str">
            <v>Республика Тыва</v>
          </cell>
        </row>
        <row r="2603">
          <cell r="AA2603" t="str">
            <v>Республика Хакасия</v>
          </cell>
        </row>
        <row r="2604">
          <cell r="AA2604" t="str">
            <v>Республика Хакасия</v>
          </cell>
        </row>
        <row r="2605">
          <cell r="AA2605" t="str">
            <v>Республика Хакасия</v>
          </cell>
        </row>
        <row r="2606">
          <cell r="AA2606" t="str">
            <v>Республика Хакасия</v>
          </cell>
        </row>
        <row r="2607">
          <cell r="AA2607" t="str">
            <v>Республика Хакасия</v>
          </cell>
        </row>
        <row r="2608">
          <cell r="AA2608" t="str">
            <v>Республика Хакасия</v>
          </cell>
        </row>
        <row r="2609">
          <cell r="AA2609" t="str">
            <v>Республика Хакасия</v>
          </cell>
        </row>
        <row r="2610">
          <cell r="AA2610" t="str">
            <v>Республика Хакасия</v>
          </cell>
        </row>
        <row r="2611">
          <cell r="AA2611" t="str">
            <v>Республика Хакасия</v>
          </cell>
        </row>
        <row r="2612">
          <cell r="AA2612" t="str">
            <v>Республика Хакасия</v>
          </cell>
        </row>
        <row r="2613">
          <cell r="AA2613" t="str">
            <v>Республика Хакасия</v>
          </cell>
        </row>
        <row r="2614">
          <cell r="AA2614" t="str">
            <v>Республика Хакасия</v>
          </cell>
        </row>
        <row r="2615">
          <cell r="AA2615" t="str">
            <v>Республика Хакасия</v>
          </cell>
        </row>
        <row r="2616">
          <cell r="AA2616" t="str">
            <v>Республика Хакасия</v>
          </cell>
        </row>
        <row r="2617">
          <cell r="AA2617" t="str">
            <v>Республика Хакасия</v>
          </cell>
        </row>
        <row r="2618">
          <cell r="AA2618" t="str">
            <v>Республика Хакасия</v>
          </cell>
        </row>
        <row r="2619">
          <cell r="AA2619" t="str">
            <v>Республика Хакасия</v>
          </cell>
        </row>
        <row r="2620">
          <cell r="AA2620" t="str">
            <v>Республика Хакасия</v>
          </cell>
        </row>
        <row r="2621">
          <cell r="AA2621" t="str">
            <v>Ростовская область</v>
          </cell>
        </row>
        <row r="2622">
          <cell r="AA2622" t="str">
            <v>Ростовская область</v>
          </cell>
        </row>
        <row r="2623">
          <cell r="AA2623" t="str">
            <v>Ростовская область</v>
          </cell>
        </row>
        <row r="2624">
          <cell r="AA2624" t="str">
            <v>Ростовская область</v>
          </cell>
        </row>
        <row r="2625">
          <cell r="AA2625" t="str">
            <v>Ростовская область</v>
          </cell>
        </row>
        <row r="2626">
          <cell r="AA2626" t="str">
            <v>Ростовская область</v>
          </cell>
        </row>
        <row r="2627">
          <cell r="AA2627" t="str">
            <v>Ростовская область</v>
          </cell>
        </row>
        <row r="2628">
          <cell r="AA2628" t="str">
            <v>Ростовская область</v>
          </cell>
        </row>
        <row r="2629">
          <cell r="AA2629" t="str">
            <v>Ростовская область</v>
          </cell>
        </row>
        <row r="2630">
          <cell r="AA2630" t="str">
            <v>Ростовская область</v>
          </cell>
        </row>
        <row r="2631">
          <cell r="AA2631" t="str">
            <v>Ростовская область</v>
          </cell>
        </row>
        <row r="2632">
          <cell r="AA2632" t="str">
            <v>Ростовская область</v>
          </cell>
        </row>
        <row r="2633">
          <cell r="AA2633" t="str">
            <v>Ростовская область</v>
          </cell>
        </row>
        <row r="2634">
          <cell r="AA2634" t="str">
            <v>Ростовская область</v>
          </cell>
        </row>
        <row r="2635">
          <cell r="AA2635" t="str">
            <v>Ростовская область</v>
          </cell>
        </row>
        <row r="2636">
          <cell r="AA2636" t="str">
            <v>Ростовская область</v>
          </cell>
        </row>
        <row r="2637">
          <cell r="AA2637" t="str">
            <v>Ростовская область</v>
          </cell>
        </row>
        <row r="2638">
          <cell r="AA2638" t="str">
            <v>Ростовская область</v>
          </cell>
        </row>
        <row r="2639">
          <cell r="AA2639" t="str">
            <v>Ростовская область</v>
          </cell>
        </row>
        <row r="2640">
          <cell r="AA2640" t="str">
            <v>Ростовская область</v>
          </cell>
        </row>
        <row r="2641">
          <cell r="AA2641" t="str">
            <v>Ростовская область</v>
          </cell>
        </row>
        <row r="2642">
          <cell r="AA2642" t="str">
            <v>Ростовская область</v>
          </cell>
        </row>
        <row r="2643">
          <cell r="AA2643" t="str">
            <v>Ростовская область</v>
          </cell>
        </row>
        <row r="2644">
          <cell r="AA2644" t="str">
            <v>Ростовская область</v>
          </cell>
        </row>
        <row r="2645">
          <cell r="AA2645" t="str">
            <v>Ростовская область</v>
          </cell>
        </row>
        <row r="2646">
          <cell r="AA2646" t="str">
            <v>Ростовская область</v>
          </cell>
        </row>
        <row r="2647">
          <cell r="AA2647" t="str">
            <v>Ростовская область</v>
          </cell>
        </row>
        <row r="2648">
          <cell r="AA2648" t="str">
            <v>Ростовская область</v>
          </cell>
        </row>
        <row r="2649">
          <cell r="AA2649" t="str">
            <v>Ростовская область</v>
          </cell>
        </row>
        <row r="2650">
          <cell r="AA2650" t="str">
            <v>Ростовская область</v>
          </cell>
        </row>
        <row r="2651">
          <cell r="AA2651" t="str">
            <v>Ростовская область</v>
          </cell>
        </row>
        <row r="2652">
          <cell r="AA2652" t="str">
            <v>Ростовская область</v>
          </cell>
        </row>
        <row r="2653">
          <cell r="AA2653" t="str">
            <v>Ростовская область</v>
          </cell>
        </row>
        <row r="2654">
          <cell r="AA2654" t="str">
            <v>Ростовская область</v>
          </cell>
        </row>
        <row r="2655">
          <cell r="AA2655" t="str">
            <v>Ростовская область</v>
          </cell>
        </row>
        <row r="2656">
          <cell r="AA2656" t="str">
            <v>Ростовская область</v>
          </cell>
        </row>
        <row r="2657">
          <cell r="AA2657" t="str">
            <v>Ростовская область</v>
          </cell>
        </row>
        <row r="2658">
          <cell r="AA2658" t="str">
            <v>Ростовская область</v>
          </cell>
        </row>
        <row r="2659">
          <cell r="AA2659" t="str">
            <v>Ростовская область</v>
          </cell>
        </row>
        <row r="2660">
          <cell r="AA2660" t="str">
            <v>Ростовская область</v>
          </cell>
        </row>
        <row r="2661">
          <cell r="AA2661" t="str">
            <v>Ростовская область</v>
          </cell>
        </row>
        <row r="2662">
          <cell r="AA2662" t="str">
            <v>Ростовская область</v>
          </cell>
        </row>
        <row r="2663">
          <cell r="AA2663" t="str">
            <v>Ростовская область</v>
          </cell>
        </row>
        <row r="2664">
          <cell r="AA2664" t="str">
            <v>Ростовская область</v>
          </cell>
        </row>
        <row r="2665">
          <cell r="AA2665" t="str">
            <v>Ростовская область</v>
          </cell>
        </row>
        <row r="2666">
          <cell r="AA2666" t="str">
            <v>Ростовская область</v>
          </cell>
        </row>
        <row r="2667">
          <cell r="AA2667" t="str">
            <v>Ростовская область</v>
          </cell>
        </row>
        <row r="2668">
          <cell r="AA2668" t="str">
            <v>Ростовская область</v>
          </cell>
        </row>
        <row r="2669">
          <cell r="AA2669" t="str">
            <v>Ростовская область</v>
          </cell>
        </row>
        <row r="2670">
          <cell r="AA2670" t="str">
            <v>Ростовская область</v>
          </cell>
        </row>
        <row r="2671">
          <cell r="AA2671" t="str">
            <v>Ростовская область</v>
          </cell>
        </row>
        <row r="2672">
          <cell r="AA2672" t="str">
            <v>Ростовская область</v>
          </cell>
        </row>
        <row r="2673">
          <cell r="AA2673" t="str">
            <v>Ростовская область</v>
          </cell>
        </row>
        <row r="2674">
          <cell r="AA2674" t="str">
            <v>Ростовская область</v>
          </cell>
        </row>
        <row r="2675">
          <cell r="AA2675" t="str">
            <v>Ростовская область</v>
          </cell>
        </row>
        <row r="2676">
          <cell r="AA2676" t="str">
            <v>Ростовская область</v>
          </cell>
        </row>
        <row r="2677">
          <cell r="AA2677" t="str">
            <v>Ростовская область</v>
          </cell>
        </row>
        <row r="2678">
          <cell r="AA2678" t="str">
            <v>Ростовская область</v>
          </cell>
        </row>
        <row r="2679">
          <cell r="AA2679" t="str">
            <v>Ростовская область</v>
          </cell>
        </row>
        <row r="2680">
          <cell r="AA2680" t="str">
            <v>Ростовская область</v>
          </cell>
        </row>
        <row r="2681">
          <cell r="AA2681" t="str">
            <v>Ростовская область</v>
          </cell>
        </row>
        <row r="2682">
          <cell r="AA2682" t="str">
            <v>Ростовская область</v>
          </cell>
        </row>
        <row r="2683">
          <cell r="AA2683" t="str">
            <v>Ростовская область</v>
          </cell>
        </row>
        <row r="2684">
          <cell r="AA2684" t="str">
            <v>Ростовская область</v>
          </cell>
        </row>
        <row r="2685">
          <cell r="AA2685" t="str">
            <v>Ростовская область</v>
          </cell>
        </row>
        <row r="2686">
          <cell r="AA2686" t="str">
            <v>Ростовская область</v>
          </cell>
        </row>
        <row r="2687">
          <cell r="AA2687" t="str">
            <v>Ростовская область</v>
          </cell>
        </row>
        <row r="2688">
          <cell r="AA2688" t="str">
            <v>Ростовская область</v>
          </cell>
        </row>
        <row r="2689">
          <cell r="AA2689" t="str">
            <v>Ростовская область</v>
          </cell>
        </row>
        <row r="2690">
          <cell r="AA2690" t="str">
            <v>Ростовская область</v>
          </cell>
        </row>
        <row r="2691">
          <cell r="AA2691" t="str">
            <v>Ростовская область</v>
          </cell>
        </row>
        <row r="2692">
          <cell r="AA2692" t="str">
            <v>Ростовская область</v>
          </cell>
        </row>
        <row r="2693">
          <cell r="AA2693" t="str">
            <v>Ростовская область</v>
          </cell>
        </row>
        <row r="2694">
          <cell r="AA2694" t="str">
            <v>Ростовская область</v>
          </cell>
        </row>
        <row r="2695">
          <cell r="AA2695" t="str">
            <v>Ростовская область</v>
          </cell>
        </row>
        <row r="2696">
          <cell r="AA2696" t="str">
            <v>Ростовская область</v>
          </cell>
        </row>
        <row r="2697">
          <cell r="AA2697" t="str">
            <v>Ростовская область</v>
          </cell>
        </row>
        <row r="2698">
          <cell r="AA2698" t="str">
            <v>Ростовская область</v>
          </cell>
        </row>
        <row r="2699">
          <cell r="AA2699" t="str">
            <v>Ростовская область</v>
          </cell>
        </row>
        <row r="2700">
          <cell r="AA2700" t="str">
            <v>Ростовская область</v>
          </cell>
        </row>
        <row r="2701">
          <cell r="AA2701" t="str">
            <v>Ростовская область</v>
          </cell>
        </row>
        <row r="2702">
          <cell r="AA2702" t="str">
            <v>Ростовская область</v>
          </cell>
        </row>
        <row r="2703">
          <cell r="AA2703" t="str">
            <v>Ростовская область</v>
          </cell>
        </row>
        <row r="2704">
          <cell r="AA2704" t="str">
            <v>Ростовская область</v>
          </cell>
        </row>
        <row r="2705">
          <cell r="AA2705" t="str">
            <v>Ростовская область</v>
          </cell>
        </row>
        <row r="2706">
          <cell r="AA2706" t="str">
            <v>Ростовская область</v>
          </cell>
        </row>
        <row r="2707">
          <cell r="AA2707" t="str">
            <v>Ростовская область</v>
          </cell>
        </row>
        <row r="2708">
          <cell r="AA2708" t="str">
            <v>Ростовская область</v>
          </cell>
        </row>
        <row r="2709">
          <cell r="AA2709" t="str">
            <v>Ростовская область</v>
          </cell>
        </row>
        <row r="2710">
          <cell r="AA2710" t="str">
            <v>Ростовская область</v>
          </cell>
        </row>
        <row r="2711">
          <cell r="AA2711" t="str">
            <v>Ростовская область</v>
          </cell>
        </row>
        <row r="2712">
          <cell r="AA2712" t="str">
            <v>Ростовская область</v>
          </cell>
        </row>
        <row r="2713">
          <cell r="AA2713" t="str">
            <v>Ростовская область</v>
          </cell>
        </row>
        <row r="2714">
          <cell r="AA2714" t="str">
            <v>Ростовская область</v>
          </cell>
        </row>
        <row r="2715">
          <cell r="AA2715" t="str">
            <v>Ростовская область</v>
          </cell>
        </row>
        <row r="2716">
          <cell r="AA2716" t="str">
            <v>Ростовская область</v>
          </cell>
        </row>
        <row r="2717">
          <cell r="AA2717" t="str">
            <v>Ростовская область</v>
          </cell>
        </row>
        <row r="2718">
          <cell r="AA2718" t="str">
            <v>Ростовская область</v>
          </cell>
        </row>
        <row r="2719">
          <cell r="AA2719" t="str">
            <v>Ростовская область</v>
          </cell>
        </row>
        <row r="2720">
          <cell r="AA2720" t="str">
            <v>Ростовская область</v>
          </cell>
        </row>
        <row r="2721">
          <cell r="AA2721" t="str">
            <v>Ростовская область</v>
          </cell>
        </row>
        <row r="2722">
          <cell r="AA2722" t="str">
            <v>Ростовская область</v>
          </cell>
        </row>
        <row r="2723">
          <cell r="AA2723" t="str">
            <v>Рязанская область</v>
          </cell>
        </row>
        <row r="2724">
          <cell r="AA2724" t="str">
            <v>Рязанская область</v>
          </cell>
        </row>
        <row r="2725">
          <cell r="AA2725" t="str">
            <v>Рязанская область</v>
          </cell>
        </row>
        <row r="2726">
          <cell r="AA2726" t="str">
            <v>Рязанская область</v>
          </cell>
        </row>
        <row r="2727">
          <cell r="AA2727" t="str">
            <v>Рязанская область</v>
          </cell>
        </row>
        <row r="2728">
          <cell r="AA2728" t="str">
            <v>Рязанская область</v>
          </cell>
        </row>
        <row r="2729">
          <cell r="AA2729" t="str">
            <v>Рязанская область</v>
          </cell>
        </row>
        <row r="2730">
          <cell r="AA2730" t="str">
            <v>Рязанская область</v>
          </cell>
        </row>
        <row r="2731">
          <cell r="AA2731" t="str">
            <v>Рязанская область</v>
          </cell>
        </row>
        <row r="2732">
          <cell r="AA2732" t="str">
            <v>Рязанская область</v>
          </cell>
        </row>
        <row r="2733">
          <cell r="AA2733" t="str">
            <v>Рязанская область</v>
          </cell>
        </row>
        <row r="2734">
          <cell r="AA2734" t="str">
            <v>Рязанская область</v>
          </cell>
        </row>
        <row r="2735">
          <cell r="AA2735" t="str">
            <v>Рязанская область</v>
          </cell>
        </row>
        <row r="2736">
          <cell r="AA2736" t="str">
            <v>Рязанская область</v>
          </cell>
        </row>
        <row r="2737">
          <cell r="AA2737" t="str">
            <v>Рязанская область</v>
          </cell>
        </row>
        <row r="2738">
          <cell r="AA2738" t="str">
            <v>Рязанская область</v>
          </cell>
        </row>
        <row r="2739">
          <cell r="AA2739" t="str">
            <v>Рязанская область</v>
          </cell>
        </row>
        <row r="2740">
          <cell r="AA2740" t="str">
            <v>Рязанская область</v>
          </cell>
        </row>
        <row r="2741">
          <cell r="AA2741" t="str">
            <v>Рязанская область</v>
          </cell>
        </row>
        <row r="2742">
          <cell r="AA2742" t="str">
            <v>Рязанская область</v>
          </cell>
        </row>
        <row r="2743">
          <cell r="AA2743" t="str">
            <v>Рязанская область</v>
          </cell>
        </row>
        <row r="2744">
          <cell r="AA2744" t="str">
            <v>Рязанская область</v>
          </cell>
        </row>
        <row r="2745">
          <cell r="AA2745" t="str">
            <v>Рязанская область</v>
          </cell>
        </row>
        <row r="2746">
          <cell r="AA2746" t="str">
            <v>Рязанская область</v>
          </cell>
        </row>
        <row r="2747">
          <cell r="AA2747" t="str">
            <v>Рязанская область</v>
          </cell>
        </row>
        <row r="2748">
          <cell r="AA2748" t="str">
            <v>Рязанская область</v>
          </cell>
        </row>
        <row r="2749">
          <cell r="AA2749" t="str">
            <v>Рязанская область</v>
          </cell>
        </row>
        <row r="2750">
          <cell r="AA2750" t="str">
            <v>Рязанская область</v>
          </cell>
        </row>
        <row r="2751">
          <cell r="AA2751" t="str">
            <v>Рязанская область</v>
          </cell>
        </row>
        <row r="2752">
          <cell r="AA2752" t="str">
            <v>Рязанская область</v>
          </cell>
        </row>
        <row r="2753">
          <cell r="AA2753" t="str">
            <v>Рязанская область</v>
          </cell>
        </row>
        <row r="2754">
          <cell r="AA2754" t="str">
            <v>Рязанская область</v>
          </cell>
        </row>
        <row r="2755">
          <cell r="AA2755" t="str">
            <v>Рязанская область</v>
          </cell>
        </row>
        <row r="2756">
          <cell r="AA2756" t="str">
            <v>Рязанская область</v>
          </cell>
        </row>
        <row r="2757">
          <cell r="AA2757" t="str">
            <v>Рязанская область</v>
          </cell>
        </row>
        <row r="2758">
          <cell r="AA2758" t="str">
            <v>Рязанская область</v>
          </cell>
        </row>
        <row r="2759">
          <cell r="AA2759" t="str">
            <v>Рязанская область</v>
          </cell>
        </row>
        <row r="2760">
          <cell r="AA2760" t="str">
            <v>Рязанская область</v>
          </cell>
        </row>
        <row r="2761">
          <cell r="AA2761" t="str">
            <v>Самарская область</v>
          </cell>
        </row>
        <row r="2762">
          <cell r="AA2762" t="str">
            <v>Самарская область</v>
          </cell>
        </row>
        <row r="2763">
          <cell r="AA2763" t="str">
            <v>Самарская область</v>
          </cell>
        </row>
        <row r="2764">
          <cell r="AA2764" t="str">
            <v>Самарская область</v>
          </cell>
        </row>
        <row r="2765">
          <cell r="AA2765" t="str">
            <v>Самарская область</v>
          </cell>
        </row>
        <row r="2766">
          <cell r="AA2766" t="str">
            <v>Самарская область</v>
          </cell>
        </row>
        <row r="2767">
          <cell r="AA2767" t="str">
            <v>Самарская область</v>
          </cell>
        </row>
        <row r="2768">
          <cell r="AA2768" t="str">
            <v>Самарская область</v>
          </cell>
        </row>
        <row r="2769">
          <cell r="AA2769" t="str">
            <v>Самарская область</v>
          </cell>
        </row>
        <row r="2770">
          <cell r="AA2770" t="str">
            <v>Самарская область</v>
          </cell>
        </row>
        <row r="2771">
          <cell r="AA2771" t="str">
            <v>Самарская область</v>
          </cell>
        </row>
        <row r="2772">
          <cell r="AA2772" t="str">
            <v>Самарская область</v>
          </cell>
        </row>
        <row r="2773">
          <cell r="AA2773" t="str">
            <v>Самарская область</v>
          </cell>
        </row>
        <row r="2774">
          <cell r="AA2774" t="str">
            <v>Самарская область</v>
          </cell>
        </row>
        <row r="2775">
          <cell r="AA2775" t="str">
            <v>Самарская область</v>
          </cell>
        </row>
        <row r="2776">
          <cell r="AA2776" t="str">
            <v>Самарская область</v>
          </cell>
        </row>
        <row r="2777">
          <cell r="AA2777" t="str">
            <v>Самарская область</v>
          </cell>
        </row>
        <row r="2778">
          <cell r="AA2778" t="str">
            <v>Самарская область</v>
          </cell>
        </row>
        <row r="2779">
          <cell r="AA2779" t="str">
            <v>Самарская область</v>
          </cell>
        </row>
        <row r="2780">
          <cell r="AA2780" t="str">
            <v>Самарская область</v>
          </cell>
        </row>
        <row r="2781">
          <cell r="AA2781" t="str">
            <v>Самарская область</v>
          </cell>
        </row>
        <row r="2782">
          <cell r="AA2782" t="str">
            <v>Самарская область</v>
          </cell>
        </row>
        <row r="2783">
          <cell r="AA2783" t="str">
            <v>Самарская область</v>
          </cell>
        </row>
        <row r="2784">
          <cell r="AA2784" t="str">
            <v>Самарская область</v>
          </cell>
        </row>
        <row r="2785">
          <cell r="AA2785" t="str">
            <v>Самарская область</v>
          </cell>
        </row>
        <row r="2786">
          <cell r="AA2786" t="str">
            <v>Самарская область</v>
          </cell>
        </row>
        <row r="2787">
          <cell r="AA2787" t="str">
            <v>Самарская область</v>
          </cell>
        </row>
        <row r="2788">
          <cell r="AA2788" t="str">
            <v>Самарская область</v>
          </cell>
        </row>
        <row r="2789">
          <cell r="AA2789" t="str">
            <v>Самарская область</v>
          </cell>
        </row>
        <row r="2790">
          <cell r="AA2790" t="str">
            <v>Самарская область</v>
          </cell>
        </row>
        <row r="2791">
          <cell r="AA2791" t="str">
            <v>Самарская область</v>
          </cell>
        </row>
        <row r="2792">
          <cell r="AA2792" t="str">
            <v>Самарская область</v>
          </cell>
        </row>
        <row r="2793">
          <cell r="AA2793" t="str">
            <v>Самарская область</v>
          </cell>
        </row>
        <row r="2794">
          <cell r="AA2794" t="str">
            <v>Самарская область</v>
          </cell>
        </row>
        <row r="2795">
          <cell r="AA2795" t="str">
            <v>Самарская область</v>
          </cell>
        </row>
        <row r="2796">
          <cell r="AA2796" t="str">
            <v>Самарская область</v>
          </cell>
        </row>
        <row r="2797">
          <cell r="AA2797" t="str">
            <v>Самарская область</v>
          </cell>
        </row>
        <row r="2798">
          <cell r="AA2798" t="str">
            <v>Самарская область</v>
          </cell>
        </row>
        <row r="2799">
          <cell r="AA2799" t="str">
            <v>Самарская область</v>
          </cell>
        </row>
        <row r="2800">
          <cell r="AA2800" t="str">
            <v>Самарская область</v>
          </cell>
        </row>
        <row r="2801">
          <cell r="AA2801" t="str">
            <v>Самарская область</v>
          </cell>
        </row>
        <row r="2802">
          <cell r="AA2802" t="str">
            <v>Самарская область</v>
          </cell>
        </row>
        <row r="2803">
          <cell r="AA2803" t="str">
            <v>Самарская область</v>
          </cell>
        </row>
        <row r="2804">
          <cell r="AA2804" t="str">
            <v>Самарская область</v>
          </cell>
        </row>
        <row r="2805">
          <cell r="AA2805" t="str">
            <v>Самарская область</v>
          </cell>
        </row>
        <row r="2806">
          <cell r="AA2806" t="str">
            <v>Самарская область</v>
          </cell>
        </row>
        <row r="2807">
          <cell r="AA2807" t="str">
            <v>Самарская область</v>
          </cell>
        </row>
        <row r="2808">
          <cell r="AA2808" t="str">
            <v>Самарская область</v>
          </cell>
        </row>
        <row r="2809">
          <cell r="AA2809" t="str">
            <v>Самарская область</v>
          </cell>
        </row>
        <row r="2810">
          <cell r="AA2810" t="str">
            <v>Самарская область</v>
          </cell>
        </row>
        <row r="2811">
          <cell r="AA2811" t="str">
            <v>Самарская область</v>
          </cell>
        </row>
        <row r="2812">
          <cell r="AA2812" t="str">
            <v>Самарская область</v>
          </cell>
        </row>
        <row r="2813">
          <cell r="AA2813" t="str">
            <v>Самарская область</v>
          </cell>
        </row>
        <row r="2814">
          <cell r="AA2814" t="str">
            <v>Самарская область</v>
          </cell>
        </row>
        <row r="2815">
          <cell r="AA2815" t="str">
            <v>Самарская область</v>
          </cell>
        </row>
        <row r="2816">
          <cell r="AA2816" t="str">
            <v>Самарская область</v>
          </cell>
        </row>
        <row r="2817">
          <cell r="AA2817" t="str">
            <v>Самарская область</v>
          </cell>
        </row>
        <row r="2818">
          <cell r="AA2818" t="str">
            <v>Саратовская область</v>
          </cell>
        </row>
        <row r="2819">
          <cell r="AA2819" t="str">
            <v>Саратовская область</v>
          </cell>
        </row>
        <row r="2820">
          <cell r="AA2820" t="str">
            <v>Саратовская область</v>
          </cell>
        </row>
        <row r="2821">
          <cell r="AA2821" t="str">
            <v>Саратовская область</v>
          </cell>
        </row>
        <row r="2822">
          <cell r="AA2822" t="str">
            <v>Саратовская область</v>
          </cell>
        </row>
        <row r="2823">
          <cell r="AA2823" t="str">
            <v>Саратовская область</v>
          </cell>
        </row>
        <row r="2824">
          <cell r="AA2824" t="str">
            <v>Саратовская область</v>
          </cell>
        </row>
        <row r="2825">
          <cell r="AA2825" t="str">
            <v>Саратовская область</v>
          </cell>
        </row>
        <row r="2826">
          <cell r="AA2826" t="str">
            <v>Саратовская область</v>
          </cell>
        </row>
        <row r="2827">
          <cell r="AA2827" t="str">
            <v>Саратовская область</v>
          </cell>
        </row>
        <row r="2828">
          <cell r="AA2828" t="str">
            <v>Саратовская область</v>
          </cell>
        </row>
        <row r="2829">
          <cell r="AA2829" t="str">
            <v>Саратовская область</v>
          </cell>
        </row>
        <row r="2830">
          <cell r="AA2830" t="str">
            <v>Саратовская область</v>
          </cell>
        </row>
        <row r="2831">
          <cell r="AA2831" t="str">
            <v>Саратовская область</v>
          </cell>
        </row>
        <row r="2832">
          <cell r="AA2832" t="str">
            <v>Саратовская область</v>
          </cell>
        </row>
        <row r="2833">
          <cell r="AA2833" t="str">
            <v>Саратовская область</v>
          </cell>
        </row>
        <row r="2834">
          <cell r="AA2834" t="str">
            <v>Саратовская область</v>
          </cell>
        </row>
        <row r="2835">
          <cell r="AA2835" t="str">
            <v>Саратовская область</v>
          </cell>
        </row>
        <row r="2836">
          <cell r="AA2836" t="str">
            <v>Саратовская область</v>
          </cell>
        </row>
        <row r="2837">
          <cell r="AA2837" t="str">
            <v>Саратовская область</v>
          </cell>
        </row>
        <row r="2838">
          <cell r="AA2838" t="str">
            <v>Саратовская область</v>
          </cell>
        </row>
        <row r="2839">
          <cell r="AA2839" t="str">
            <v>Саратовская область</v>
          </cell>
        </row>
        <row r="2840">
          <cell r="AA2840" t="str">
            <v>Саратовская область</v>
          </cell>
        </row>
        <row r="2841">
          <cell r="AA2841" t="str">
            <v>Саратовская область</v>
          </cell>
        </row>
        <row r="2842">
          <cell r="AA2842" t="str">
            <v>Саратовская область</v>
          </cell>
        </row>
        <row r="2843">
          <cell r="AA2843" t="str">
            <v>Саратовская область</v>
          </cell>
        </row>
        <row r="2844">
          <cell r="AA2844" t="str">
            <v>Саратовская область</v>
          </cell>
        </row>
        <row r="2845">
          <cell r="AA2845" t="str">
            <v>Саратовская область</v>
          </cell>
        </row>
        <row r="2846">
          <cell r="AA2846" t="str">
            <v>Саратовская область</v>
          </cell>
        </row>
        <row r="2847">
          <cell r="AA2847" t="str">
            <v>Саратовская область</v>
          </cell>
        </row>
        <row r="2848">
          <cell r="AA2848" t="str">
            <v>Саратовская область</v>
          </cell>
        </row>
        <row r="2849">
          <cell r="AA2849" t="str">
            <v>Саратовская область</v>
          </cell>
        </row>
        <row r="2850">
          <cell r="AA2850" t="str">
            <v>Саратовская область</v>
          </cell>
        </row>
        <row r="2851">
          <cell r="AA2851" t="str">
            <v>Саратовская область</v>
          </cell>
        </row>
        <row r="2852">
          <cell r="AA2852" t="str">
            <v>Саратовская область</v>
          </cell>
        </row>
        <row r="2853">
          <cell r="AA2853" t="str">
            <v>Саратовская область</v>
          </cell>
        </row>
        <row r="2854">
          <cell r="AA2854" t="str">
            <v>Саратовская область</v>
          </cell>
        </row>
        <row r="2855">
          <cell r="AA2855" t="str">
            <v>Саратовская область</v>
          </cell>
        </row>
        <row r="2856">
          <cell r="AA2856" t="str">
            <v>Саратовская область</v>
          </cell>
        </row>
        <row r="2857">
          <cell r="AA2857" t="str">
            <v>Саратовская область</v>
          </cell>
        </row>
        <row r="2858">
          <cell r="AA2858" t="str">
            <v>Саратовская область</v>
          </cell>
        </row>
        <row r="2859">
          <cell r="AA2859" t="str">
            <v>Саратовская область</v>
          </cell>
        </row>
        <row r="2860">
          <cell r="AA2860" t="str">
            <v>Саратовская область</v>
          </cell>
        </row>
        <row r="2861">
          <cell r="AA2861" t="str">
            <v>Саратовская область</v>
          </cell>
        </row>
        <row r="2862">
          <cell r="AA2862" t="str">
            <v>Саратовская область</v>
          </cell>
        </row>
        <row r="2863">
          <cell r="AA2863" t="str">
            <v>Саратовская область</v>
          </cell>
        </row>
        <row r="2864">
          <cell r="AA2864" t="str">
            <v>Саратовская область</v>
          </cell>
        </row>
        <row r="2865">
          <cell r="AA2865" t="str">
            <v>Саратовская область</v>
          </cell>
        </row>
        <row r="2866">
          <cell r="AA2866" t="str">
            <v>Саратовская область</v>
          </cell>
        </row>
        <row r="2867">
          <cell r="AA2867" t="str">
            <v>Саратовская область</v>
          </cell>
        </row>
        <row r="2868">
          <cell r="AA2868" t="str">
            <v>Саратовская область</v>
          </cell>
        </row>
        <row r="2869">
          <cell r="AA2869" t="str">
            <v>Саратовская область</v>
          </cell>
        </row>
        <row r="2870">
          <cell r="AA2870" t="str">
            <v>Саратовская область</v>
          </cell>
        </row>
        <row r="2871">
          <cell r="AA2871" t="str">
            <v>Саратовская область</v>
          </cell>
        </row>
        <row r="2872">
          <cell r="AA2872" t="str">
            <v>Саратовская область</v>
          </cell>
        </row>
        <row r="2873">
          <cell r="AA2873" t="str">
            <v>Саратовская область</v>
          </cell>
        </row>
        <row r="2874">
          <cell r="AA2874" t="str">
            <v>Саратовская область</v>
          </cell>
        </row>
        <row r="2875">
          <cell r="AA2875" t="str">
            <v>Саратовская область</v>
          </cell>
        </row>
        <row r="2876">
          <cell r="AA2876" t="str">
            <v>Саратовская область</v>
          </cell>
        </row>
        <row r="2877">
          <cell r="AA2877" t="str">
            <v>Саратовская область</v>
          </cell>
        </row>
        <row r="2878">
          <cell r="AA2878" t="str">
            <v>Саратовская область</v>
          </cell>
        </row>
        <row r="2879">
          <cell r="AA2879" t="str">
            <v>Саратовская область</v>
          </cell>
        </row>
        <row r="2880">
          <cell r="AA2880" t="str">
            <v>Саратовская область</v>
          </cell>
        </row>
        <row r="2881">
          <cell r="AA2881" t="str">
            <v>Саратовская область</v>
          </cell>
        </row>
        <row r="2882">
          <cell r="AA2882" t="str">
            <v>Саратовская область</v>
          </cell>
        </row>
        <row r="2883">
          <cell r="AA2883" t="str">
            <v>Саратовская область</v>
          </cell>
        </row>
        <row r="2884">
          <cell r="AA2884" t="str">
            <v>Саратовская область</v>
          </cell>
        </row>
        <row r="2885">
          <cell r="AA2885" t="str">
            <v>Саратовская область</v>
          </cell>
        </row>
        <row r="2886">
          <cell r="AA2886" t="str">
            <v>Саратовская область</v>
          </cell>
        </row>
        <row r="2887">
          <cell r="AA2887" t="str">
            <v>Саратовская область</v>
          </cell>
        </row>
        <row r="2888">
          <cell r="AA2888" t="str">
            <v>Саратовская область</v>
          </cell>
        </row>
        <row r="2889">
          <cell r="AA2889" t="str">
            <v>Саратовская область</v>
          </cell>
        </row>
        <row r="2890">
          <cell r="AA2890" t="str">
            <v>Саратовская область</v>
          </cell>
        </row>
        <row r="2891">
          <cell r="AA2891" t="str">
            <v>Саратовская область</v>
          </cell>
        </row>
        <row r="2892">
          <cell r="AA2892" t="str">
            <v>Саратовская область</v>
          </cell>
        </row>
        <row r="2893">
          <cell r="AA2893" t="str">
            <v>Саратовская область</v>
          </cell>
        </row>
        <row r="2894">
          <cell r="AA2894" t="str">
            <v>Сахалинская область</v>
          </cell>
        </row>
        <row r="2895">
          <cell r="AA2895" t="str">
            <v>Сахалинская область</v>
          </cell>
        </row>
        <row r="2896">
          <cell r="AA2896" t="str">
            <v>Сахалинская область</v>
          </cell>
        </row>
        <row r="2897">
          <cell r="AA2897" t="str">
            <v>Сахалинская область</v>
          </cell>
        </row>
        <row r="2898">
          <cell r="AA2898" t="str">
            <v>Сахалинская область</v>
          </cell>
        </row>
        <row r="2899">
          <cell r="AA2899" t="str">
            <v>Сахалинская область</v>
          </cell>
        </row>
        <row r="2900">
          <cell r="AA2900" t="str">
            <v>Сахалинская область</v>
          </cell>
        </row>
        <row r="2901">
          <cell r="AA2901" t="str">
            <v>Сахалинская область</v>
          </cell>
        </row>
        <row r="2902">
          <cell r="AA2902" t="str">
            <v>Сахалинская область</v>
          </cell>
        </row>
        <row r="2903">
          <cell r="AA2903" t="str">
            <v>Сахалинская область</v>
          </cell>
        </row>
        <row r="2904">
          <cell r="AA2904" t="str">
            <v>Сахалинская область</v>
          </cell>
        </row>
        <row r="2905">
          <cell r="AA2905" t="str">
            <v>Сахалинская область</v>
          </cell>
        </row>
        <row r="2906">
          <cell r="AA2906" t="str">
            <v>Сахалинская область</v>
          </cell>
        </row>
        <row r="2907">
          <cell r="AA2907" t="str">
            <v>Сахалинская область</v>
          </cell>
        </row>
        <row r="2908">
          <cell r="AA2908" t="str">
            <v>Сахалинская область</v>
          </cell>
        </row>
        <row r="2909">
          <cell r="AA2909" t="str">
            <v>Сахалинская область</v>
          </cell>
        </row>
        <row r="2910">
          <cell r="AA2910" t="str">
            <v>Сахалинская область</v>
          </cell>
        </row>
        <row r="2911">
          <cell r="AA2911" t="str">
            <v>Сахалинская область</v>
          </cell>
        </row>
        <row r="2912">
          <cell r="AA2912" t="str">
            <v>Сахалинская область</v>
          </cell>
        </row>
        <row r="2913">
          <cell r="AA2913" t="str">
            <v>Сахалинская область</v>
          </cell>
        </row>
        <row r="2914">
          <cell r="AA2914" t="str">
            <v>Сахалинская область</v>
          </cell>
        </row>
        <row r="2915">
          <cell r="AA2915" t="str">
            <v>Сахалинская область</v>
          </cell>
        </row>
        <row r="2916">
          <cell r="AA2916" t="str">
            <v>Сахалинская область</v>
          </cell>
        </row>
        <row r="2917">
          <cell r="AA2917" t="str">
            <v>Сахалинская область</v>
          </cell>
        </row>
        <row r="2918">
          <cell r="AA2918" t="str">
            <v>Сахалинская область</v>
          </cell>
        </row>
        <row r="2919">
          <cell r="AA2919" t="str">
            <v>Сахалинская область</v>
          </cell>
        </row>
        <row r="2920">
          <cell r="AA2920" t="str">
            <v>Сахалинская область</v>
          </cell>
        </row>
        <row r="2921">
          <cell r="AA2921" t="str">
            <v>Сахалинская область</v>
          </cell>
        </row>
        <row r="2922">
          <cell r="AA2922" t="str">
            <v>Сахалинская область</v>
          </cell>
        </row>
        <row r="2923">
          <cell r="AA2923" t="str">
            <v>Свердловская область</v>
          </cell>
        </row>
        <row r="2924">
          <cell r="AA2924" t="str">
            <v>Свердловская область</v>
          </cell>
        </row>
        <row r="2925">
          <cell r="AA2925" t="str">
            <v>Свердловская область</v>
          </cell>
        </row>
        <row r="2926">
          <cell r="AA2926" t="str">
            <v>Свердловская область</v>
          </cell>
        </row>
        <row r="2927">
          <cell r="AA2927" t="str">
            <v>Свердловская область</v>
          </cell>
        </row>
        <row r="2928">
          <cell r="AA2928" t="str">
            <v>Свердловская область</v>
          </cell>
        </row>
        <row r="2929">
          <cell r="AA2929" t="str">
            <v>Свердловская область</v>
          </cell>
        </row>
        <row r="2930">
          <cell r="AA2930" t="str">
            <v>Свердловская область</v>
          </cell>
        </row>
        <row r="2931">
          <cell r="AA2931" t="str">
            <v>Свердловская область</v>
          </cell>
        </row>
        <row r="2932">
          <cell r="AA2932" t="str">
            <v>Свердловская область</v>
          </cell>
        </row>
        <row r="2933">
          <cell r="AA2933" t="str">
            <v>Свердловская область</v>
          </cell>
        </row>
        <row r="2934">
          <cell r="AA2934" t="str">
            <v>Свердловская область</v>
          </cell>
        </row>
        <row r="2935">
          <cell r="AA2935" t="str">
            <v>Свердловская область</v>
          </cell>
        </row>
        <row r="2936">
          <cell r="AA2936" t="str">
            <v>Свердловская область</v>
          </cell>
        </row>
        <row r="2937">
          <cell r="AA2937" t="str">
            <v>Свердловская область</v>
          </cell>
        </row>
        <row r="2938">
          <cell r="AA2938" t="str">
            <v>Свердловская область</v>
          </cell>
        </row>
        <row r="2939">
          <cell r="AA2939" t="str">
            <v>Свердловская область</v>
          </cell>
        </row>
        <row r="2940">
          <cell r="AA2940" t="str">
            <v>Свердловская область</v>
          </cell>
        </row>
        <row r="2941">
          <cell r="AA2941" t="str">
            <v>Свердловская область</v>
          </cell>
        </row>
        <row r="2942">
          <cell r="AA2942" t="str">
            <v>Свердловская область</v>
          </cell>
        </row>
        <row r="2943">
          <cell r="AA2943" t="str">
            <v>Свердловская область</v>
          </cell>
        </row>
        <row r="2944">
          <cell r="AA2944" t="str">
            <v>Свердловская область</v>
          </cell>
        </row>
        <row r="2945">
          <cell r="AA2945" t="str">
            <v>Свердловская область</v>
          </cell>
        </row>
        <row r="2946">
          <cell r="AA2946" t="str">
            <v>Свердловская область</v>
          </cell>
        </row>
        <row r="2947">
          <cell r="AA2947" t="str">
            <v>Свердловская область</v>
          </cell>
        </row>
        <row r="2948">
          <cell r="AA2948" t="str">
            <v>Свердловская область</v>
          </cell>
        </row>
        <row r="2949">
          <cell r="AA2949" t="str">
            <v>Свердловская область</v>
          </cell>
        </row>
        <row r="2950">
          <cell r="AA2950" t="str">
            <v>Свердловская область</v>
          </cell>
        </row>
        <row r="2951">
          <cell r="AA2951" t="str">
            <v>Свердловская область</v>
          </cell>
        </row>
        <row r="2952">
          <cell r="AA2952" t="str">
            <v>Свердловская область</v>
          </cell>
        </row>
        <row r="2953">
          <cell r="AA2953" t="str">
            <v>Свердловская область</v>
          </cell>
        </row>
        <row r="2954">
          <cell r="AA2954" t="str">
            <v>Свердловская область</v>
          </cell>
        </row>
        <row r="2955">
          <cell r="AA2955" t="str">
            <v>Свердловская область</v>
          </cell>
        </row>
        <row r="2956">
          <cell r="AA2956" t="str">
            <v>Свердловская область</v>
          </cell>
        </row>
        <row r="2957">
          <cell r="AA2957" t="str">
            <v>Свердловская область</v>
          </cell>
        </row>
        <row r="2958">
          <cell r="AA2958" t="str">
            <v>Свердловская область</v>
          </cell>
        </row>
        <row r="2959">
          <cell r="AA2959" t="str">
            <v>Свердловская область</v>
          </cell>
        </row>
        <row r="2960">
          <cell r="AA2960" t="str">
            <v>Свердловская область</v>
          </cell>
        </row>
        <row r="2961">
          <cell r="AA2961" t="str">
            <v>Свердловская область</v>
          </cell>
        </row>
        <row r="2962">
          <cell r="AA2962" t="str">
            <v>Свердловская область</v>
          </cell>
        </row>
        <row r="2963">
          <cell r="AA2963" t="str">
            <v>Свердловская область</v>
          </cell>
        </row>
        <row r="2964">
          <cell r="AA2964" t="str">
            <v>Свердловская область</v>
          </cell>
        </row>
        <row r="2965">
          <cell r="AA2965" t="str">
            <v>Свердловская область</v>
          </cell>
        </row>
        <row r="2966">
          <cell r="AA2966" t="str">
            <v>Свердловская область</v>
          </cell>
        </row>
        <row r="2967">
          <cell r="AA2967" t="str">
            <v>Свердловская область</v>
          </cell>
        </row>
        <row r="2968">
          <cell r="AA2968" t="str">
            <v>Свердловская область</v>
          </cell>
        </row>
        <row r="2969">
          <cell r="AA2969" t="str">
            <v>Свердловская область</v>
          </cell>
        </row>
        <row r="2970">
          <cell r="AA2970" t="str">
            <v>Свердловская область</v>
          </cell>
        </row>
        <row r="2971">
          <cell r="AA2971" t="str">
            <v>Свердловская область</v>
          </cell>
        </row>
        <row r="2972">
          <cell r="AA2972" t="str">
            <v>Свердловская область</v>
          </cell>
        </row>
        <row r="2973">
          <cell r="AA2973" t="str">
            <v>Свердловская область</v>
          </cell>
        </row>
        <row r="2974">
          <cell r="AA2974" t="str">
            <v>Свердловская область</v>
          </cell>
        </row>
        <row r="2975">
          <cell r="AA2975" t="str">
            <v>Свердловская область</v>
          </cell>
        </row>
        <row r="2976">
          <cell r="AA2976" t="str">
            <v>Свердловская область</v>
          </cell>
        </row>
        <row r="2977">
          <cell r="AA2977" t="str">
            <v>Свердловская область</v>
          </cell>
        </row>
        <row r="2978">
          <cell r="AA2978" t="str">
            <v>Свердловская область</v>
          </cell>
        </row>
        <row r="2979">
          <cell r="AA2979" t="str">
            <v>Свердловская область</v>
          </cell>
        </row>
        <row r="2980">
          <cell r="AA2980" t="str">
            <v>Свердловская область</v>
          </cell>
        </row>
        <row r="2981">
          <cell r="AA2981" t="str">
            <v>Свердловская область</v>
          </cell>
        </row>
        <row r="2982">
          <cell r="AA2982" t="str">
            <v>Свердловская область</v>
          </cell>
        </row>
        <row r="2983">
          <cell r="AA2983" t="str">
            <v>Свердловская область</v>
          </cell>
        </row>
        <row r="2984">
          <cell r="AA2984" t="str">
            <v>Свердловская область</v>
          </cell>
        </row>
        <row r="2985">
          <cell r="AA2985" t="str">
            <v>Свердловская область</v>
          </cell>
        </row>
        <row r="2986">
          <cell r="AA2986" t="str">
            <v>Свердловская область</v>
          </cell>
        </row>
        <row r="2987">
          <cell r="AA2987" t="str">
            <v>Свердловская область</v>
          </cell>
        </row>
        <row r="2988">
          <cell r="AA2988" t="str">
            <v>Свердловская область</v>
          </cell>
        </row>
        <row r="2989">
          <cell r="AA2989" t="str">
            <v>Свердловская область</v>
          </cell>
        </row>
        <row r="2990">
          <cell r="AA2990" t="str">
            <v>Свердловская область</v>
          </cell>
        </row>
        <row r="2991">
          <cell r="AA2991" t="str">
            <v>Свердловская область</v>
          </cell>
        </row>
        <row r="2992">
          <cell r="AA2992" t="str">
            <v>Свердловская область</v>
          </cell>
        </row>
        <row r="2993">
          <cell r="AA2993" t="str">
            <v>Свердловская область</v>
          </cell>
        </row>
        <row r="2994">
          <cell r="AA2994" t="str">
            <v>Свердловская область</v>
          </cell>
        </row>
        <row r="2995">
          <cell r="AA2995" t="str">
            <v>Свердловская область</v>
          </cell>
        </row>
        <row r="2996">
          <cell r="AA2996" t="str">
            <v>Свердловская область</v>
          </cell>
        </row>
        <row r="2997">
          <cell r="AA2997" t="str">
            <v>Свердловская область</v>
          </cell>
        </row>
        <row r="2998">
          <cell r="AA2998" t="str">
            <v>Свердловская область</v>
          </cell>
        </row>
        <row r="2999">
          <cell r="AA2999" t="str">
            <v>Свердловская область</v>
          </cell>
        </row>
        <row r="3000">
          <cell r="AA3000" t="str">
            <v>Свердловская область</v>
          </cell>
        </row>
        <row r="3001">
          <cell r="AA3001" t="str">
            <v>Свердловская область</v>
          </cell>
        </row>
        <row r="3002">
          <cell r="AA3002" t="str">
            <v>Свердловская область</v>
          </cell>
        </row>
        <row r="3003">
          <cell r="AA3003" t="str">
            <v>Свердловская область</v>
          </cell>
        </row>
        <row r="3004">
          <cell r="AA3004" t="str">
            <v>Свердловская область</v>
          </cell>
        </row>
        <row r="3005">
          <cell r="AA3005" t="str">
            <v>Свердловская область</v>
          </cell>
        </row>
        <row r="3006">
          <cell r="AA3006" t="str">
            <v>Смоленская область</v>
          </cell>
        </row>
        <row r="3007">
          <cell r="AA3007" t="str">
            <v>Смоленская область</v>
          </cell>
        </row>
        <row r="3008">
          <cell r="AA3008" t="str">
            <v>Смоленская область</v>
          </cell>
        </row>
        <row r="3009">
          <cell r="AA3009" t="str">
            <v>Смоленская область</v>
          </cell>
        </row>
        <row r="3010">
          <cell r="AA3010" t="str">
            <v>Смоленская область</v>
          </cell>
        </row>
        <row r="3011">
          <cell r="AA3011" t="str">
            <v>Смоленская область</v>
          </cell>
        </row>
        <row r="3012">
          <cell r="AA3012" t="str">
            <v>Смоленская область</v>
          </cell>
        </row>
        <row r="3013">
          <cell r="AA3013" t="str">
            <v>Смоленская область</v>
          </cell>
        </row>
        <row r="3014">
          <cell r="AA3014" t="str">
            <v>Смоленская область</v>
          </cell>
        </row>
        <row r="3015">
          <cell r="AA3015" t="str">
            <v>Смоленская область</v>
          </cell>
        </row>
        <row r="3016">
          <cell r="AA3016" t="str">
            <v>Смоленская область</v>
          </cell>
        </row>
        <row r="3017">
          <cell r="AA3017" t="str">
            <v>Смоленская область</v>
          </cell>
        </row>
        <row r="3018">
          <cell r="AA3018" t="str">
            <v>Смоленская область</v>
          </cell>
        </row>
        <row r="3019">
          <cell r="AA3019" t="str">
            <v>Смоленская область</v>
          </cell>
        </row>
        <row r="3020">
          <cell r="AA3020" t="str">
            <v>Смоленская область</v>
          </cell>
        </row>
        <row r="3021">
          <cell r="AA3021" t="str">
            <v>Смоленская область</v>
          </cell>
        </row>
        <row r="3022">
          <cell r="AA3022" t="str">
            <v>Смоленская область</v>
          </cell>
        </row>
        <row r="3023">
          <cell r="AA3023" t="str">
            <v>Смоленская область</v>
          </cell>
        </row>
        <row r="3024">
          <cell r="AA3024" t="str">
            <v>Смоленская область</v>
          </cell>
        </row>
        <row r="3025">
          <cell r="AA3025" t="str">
            <v>Смоленская область</v>
          </cell>
        </row>
        <row r="3026">
          <cell r="AA3026" t="str">
            <v>Смоленская область</v>
          </cell>
        </row>
        <row r="3027">
          <cell r="AA3027" t="str">
            <v>Смоленская область</v>
          </cell>
        </row>
        <row r="3028">
          <cell r="AA3028" t="str">
            <v>Смоленская область</v>
          </cell>
        </row>
        <row r="3029">
          <cell r="AA3029" t="str">
            <v>Смоленская область</v>
          </cell>
        </row>
        <row r="3030">
          <cell r="AA3030" t="str">
            <v>Смоленская область</v>
          </cell>
        </row>
        <row r="3031">
          <cell r="AA3031" t="str">
            <v>Смоленская область</v>
          </cell>
        </row>
        <row r="3032">
          <cell r="AA3032" t="str">
            <v>Смоленская область</v>
          </cell>
        </row>
        <row r="3033">
          <cell r="AA3033" t="str">
            <v>Смоленская область</v>
          </cell>
        </row>
        <row r="3034">
          <cell r="AA3034" t="str">
            <v>Смоленская область</v>
          </cell>
        </row>
        <row r="3035">
          <cell r="AA3035" t="str">
            <v>Смоленская область</v>
          </cell>
        </row>
        <row r="3036">
          <cell r="AA3036" t="str">
            <v>Смоленская область</v>
          </cell>
        </row>
        <row r="3037">
          <cell r="AA3037" t="str">
            <v>Смоленская область</v>
          </cell>
        </row>
        <row r="3038">
          <cell r="AA3038" t="str">
            <v>Смоленская область</v>
          </cell>
        </row>
        <row r="3039">
          <cell r="AA3039" t="str">
            <v>Смоленская область</v>
          </cell>
        </row>
        <row r="3040">
          <cell r="AA3040" t="str">
            <v>Смоленская область</v>
          </cell>
        </row>
        <row r="3041">
          <cell r="AA3041" t="str">
            <v>Ставропольский край</v>
          </cell>
        </row>
        <row r="3042">
          <cell r="AA3042" t="str">
            <v>Ставропольский край</v>
          </cell>
        </row>
        <row r="3043">
          <cell r="AA3043" t="str">
            <v>Ставропольский край</v>
          </cell>
        </row>
        <row r="3044">
          <cell r="AA3044" t="str">
            <v>Ставропольский край</v>
          </cell>
        </row>
        <row r="3045">
          <cell r="AA3045" t="str">
            <v>Ставропольский край</v>
          </cell>
        </row>
        <row r="3046">
          <cell r="AA3046" t="str">
            <v>Ставропольский край</v>
          </cell>
        </row>
        <row r="3047">
          <cell r="AA3047" t="str">
            <v>Ставропольский край</v>
          </cell>
        </row>
        <row r="3048">
          <cell r="AA3048" t="str">
            <v>Ставропольский край</v>
          </cell>
        </row>
        <row r="3049">
          <cell r="AA3049" t="str">
            <v>Ставропольский край</v>
          </cell>
        </row>
        <row r="3050">
          <cell r="AA3050" t="str">
            <v>Ставропольский край</v>
          </cell>
        </row>
        <row r="3051">
          <cell r="AA3051" t="str">
            <v>Ставропольский край</v>
          </cell>
        </row>
        <row r="3052">
          <cell r="AA3052" t="str">
            <v>Ставропольский край</v>
          </cell>
        </row>
        <row r="3053">
          <cell r="AA3053" t="str">
            <v>Ставропольский край</v>
          </cell>
        </row>
        <row r="3054">
          <cell r="AA3054" t="str">
            <v>Ставропольский край</v>
          </cell>
        </row>
        <row r="3055">
          <cell r="AA3055" t="str">
            <v>Ставропольский край</v>
          </cell>
        </row>
        <row r="3056">
          <cell r="AA3056" t="str">
            <v>Ставропольский край</v>
          </cell>
        </row>
        <row r="3057">
          <cell r="AA3057" t="str">
            <v>Ставропольский край</v>
          </cell>
        </row>
        <row r="3058">
          <cell r="AA3058" t="str">
            <v>Ставропольский край</v>
          </cell>
        </row>
        <row r="3059">
          <cell r="AA3059" t="str">
            <v>Ставропольский край</v>
          </cell>
        </row>
        <row r="3060">
          <cell r="AA3060" t="str">
            <v>Ставропольский край</v>
          </cell>
        </row>
        <row r="3061">
          <cell r="AA3061" t="str">
            <v>Ставропольский край</v>
          </cell>
        </row>
        <row r="3062">
          <cell r="AA3062" t="str">
            <v>Ставропольский край</v>
          </cell>
        </row>
        <row r="3063">
          <cell r="AA3063" t="str">
            <v>Ставропольский край</v>
          </cell>
        </row>
        <row r="3064">
          <cell r="AA3064" t="str">
            <v>Ставропольский край</v>
          </cell>
        </row>
        <row r="3065">
          <cell r="AA3065" t="str">
            <v>Ставропольский край</v>
          </cell>
        </row>
        <row r="3066">
          <cell r="AA3066" t="str">
            <v>Ставропольский край</v>
          </cell>
        </row>
        <row r="3067">
          <cell r="AA3067" t="str">
            <v>Ставропольский край</v>
          </cell>
        </row>
        <row r="3068">
          <cell r="AA3068" t="str">
            <v>Ставропольский край</v>
          </cell>
        </row>
        <row r="3069">
          <cell r="AA3069" t="str">
            <v>Ставропольский край</v>
          </cell>
        </row>
        <row r="3070">
          <cell r="AA3070" t="str">
            <v>Ставропольский край</v>
          </cell>
        </row>
        <row r="3071">
          <cell r="AA3071" t="str">
            <v>Ставропольский край</v>
          </cell>
        </row>
        <row r="3072">
          <cell r="AA3072" t="str">
            <v>Ставропольский край</v>
          </cell>
        </row>
        <row r="3073">
          <cell r="AA3073" t="str">
            <v>Ставропольский край</v>
          </cell>
        </row>
        <row r="3074">
          <cell r="AA3074" t="str">
            <v>Ставропольский край</v>
          </cell>
        </row>
        <row r="3075">
          <cell r="AA3075" t="str">
            <v>Ставропольский край</v>
          </cell>
        </row>
        <row r="3076">
          <cell r="AA3076" t="str">
            <v>Ставропольский край</v>
          </cell>
        </row>
        <row r="3077">
          <cell r="AA3077" t="str">
            <v>Ставропольский край</v>
          </cell>
        </row>
        <row r="3078">
          <cell r="AA3078" t="str">
            <v>Ставропольский край</v>
          </cell>
        </row>
        <row r="3079">
          <cell r="AA3079" t="str">
            <v>Ставропольский край</v>
          </cell>
        </row>
        <row r="3080">
          <cell r="AA3080" t="str">
            <v>Ставропольский край</v>
          </cell>
        </row>
        <row r="3081">
          <cell r="AA3081" t="str">
            <v>Ставропольский край</v>
          </cell>
        </row>
        <row r="3082">
          <cell r="AA3082" t="str">
            <v>Ставропольский край</v>
          </cell>
        </row>
        <row r="3083">
          <cell r="AA3083" t="str">
            <v>Ставропольский край</v>
          </cell>
        </row>
        <row r="3084">
          <cell r="AA3084" t="str">
            <v>Ставропольский край</v>
          </cell>
        </row>
        <row r="3085">
          <cell r="AA3085" t="str">
            <v>Ставропольский край</v>
          </cell>
        </row>
        <row r="3086">
          <cell r="AA3086" t="str">
            <v>Ставропольский край</v>
          </cell>
        </row>
        <row r="3087">
          <cell r="AA3087" t="str">
            <v>Ставропольский край</v>
          </cell>
        </row>
        <row r="3088">
          <cell r="AA3088" t="str">
            <v>Ставропольский край</v>
          </cell>
        </row>
        <row r="3089">
          <cell r="AA3089" t="str">
            <v>Ставропольский край</v>
          </cell>
        </row>
        <row r="3090">
          <cell r="AA3090" t="str">
            <v>Ставропольский край</v>
          </cell>
        </row>
        <row r="3091">
          <cell r="AA3091" t="str">
            <v>Ставропольский край</v>
          </cell>
        </row>
        <row r="3092">
          <cell r="AA3092" t="str">
            <v>Тамбовская область</v>
          </cell>
        </row>
        <row r="3093">
          <cell r="AA3093" t="str">
            <v>Тамбовская область</v>
          </cell>
        </row>
        <row r="3094">
          <cell r="AA3094" t="str">
            <v>Тамбовская область</v>
          </cell>
        </row>
        <row r="3095">
          <cell r="AA3095" t="str">
            <v>Тамбовская область</v>
          </cell>
        </row>
        <row r="3096">
          <cell r="AA3096" t="str">
            <v>Тамбовская область</v>
          </cell>
        </row>
        <row r="3097">
          <cell r="AA3097" t="str">
            <v>Тамбовская область</v>
          </cell>
        </row>
        <row r="3098">
          <cell r="AA3098" t="str">
            <v>Тамбовская область</v>
          </cell>
        </row>
        <row r="3099">
          <cell r="AA3099" t="str">
            <v>Тамбовская область</v>
          </cell>
        </row>
        <row r="3100">
          <cell r="AA3100" t="str">
            <v>Тамбовская область</v>
          </cell>
        </row>
        <row r="3101">
          <cell r="AA3101" t="str">
            <v>Тамбовская область</v>
          </cell>
        </row>
        <row r="3102">
          <cell r="AA3102" t="str">
            <v>Тамбовская область</v>
          </cell>
        </row>
        <row r="3103">
          <cell r="AA3103" t="str">
            <v>Тамбовская область</v>
          </cell>
        </row>
        <row r="3104">
          <cell r="AA3104" t="str">
            <v>Тамбовская область</v>
          </cell>
        </row>
        <row r="3105">
          <cell r="AA3105" t="str">
            <v>Тамбовская область</v>
          </cell>
        </row>
        <row r="3106">
          <cell r="AA3106" t="str">
            <v>Тамбовская область</v>
          </cell>
        </row>
        <row r="3107">
          <cell r="AA3107" t="str">
            <v>Тамбовская область</v>
          </cell>
        </row>
        <row r="3108">
          <cell r="AA3108" t="str">
            <v>Тамбовская область</v>
          </cell>
        </row>
        <row r="3109">
          <cell r="AA3109" t="str">
            <v>Тамбовская область</v>
          </cell>
        </row>
        <row r="3110">
          <cell r="AA3110" t="str">
            <v>Тамбовская область</v>
          </cell>
        </row>
        <row r="3111">
          <cell r="AA3111" t="str">
            <v>Тамбовская область</v>
          </cell>
        </row>
        <row r="3112">
          <cell r="AA3112" t="str">
            <v>Тамбовская область</v>
          </cell>
        </row>
        <row r="3113">
          <cell r="AA3113" t="str">
            <v>Тамбовская область</v>
          </cell>
        </row>
        <row r="3114">
          <cell r="AA3114" t="str">
            <v>Тамбовская область</v>
          </cell>
        </row>
        <row r="3115">
          <cell r="AA3115" t="str">
            <v>Тамбовская область</v>
          </cell>
        </row>
        <row r="3116">
          <cell r="AA3116" t="str">
            <v>Тамбовская область</v>
          </cell>
        </row>
        <row r="3117">
          <cell r="AA3117" t="str">
            <v>Тамбовская область</v>
          </cell>
        </row>
        <row r="3118">
          <cell r="AA3118" t="str">
            <v>Тамбовская область</v>
          </cell>
        </row>
        <row r="3119">
          <cell r="AA3119" t="str">
            <v>Тамбовская область</v>
          </cell>
        </row>
        <row r="3120">
          <cell r="AA3120" t="str">
            <v>Тамбовская область</v>
          </cell>
        </row>
        <row r="3121">
          <cell r="AA3121" t="str">
            <v>Тамбовская область</v>
          </cell>
        </row>
        <row r="3122">
          <cell r="AA3122" t="str">
            <v>Тамбовская область</v>
          </cell>
        </row>
        <row r="3123">
          <cell r="AA3123" t="str">
            <v>Тамбовская область</v>
          </cell>
        </row>
        <row r="3124">
          <cell r="AA3124" t="str">
            <v>Тамбовская область</v>
          </cell>
        </row>
        <row r="3125">
          <cell r="AA3125" t="str">
            <v>Тверская область</v>
          </cell>
        </row>
        <row r="3126">
          <cell r="AA3126" t="str">
            <v>Тверская область</v>
          </cell>
        </row>
        <row r="3127">
          <cell r="AA3127" t="str">
            <v>Тверская область</v>
          </cell>
        </row>
        <row r="3128">
          <cell r="AA3128" t="str">
            <v>Тверская область</v>
          </cell>
        </row>
        <row r="3129">
          <cell r="AA3129" t="str">
            <v>Тверская область</v>
          </cell>
        </row>
        <row r="3130">
          <cell r="AA3130" t="str">
            <v>Тверская область</v>
          </cell>
        </row>
        <row r="3131">
          <cell r="AA3131" t="str">
            <v>Тверская область</v>
          </cell>
        </row>
        <row r="3132">
          <cell r="AA3132" t="str">
            <v>Тверская область</v>
          </cell>
        </row>
        <row r="3133">
          <cell r="AA3133" t="str">
            <v>Тверская область</v>
          </cell>
        </row>
        <row r="3134">
          <cell r="AA3134" t="str">
            <v>Тверская область</v>
          </cell>
        </row>
        <row r="3135">
          <cell r="AA3135" t="str">
            <v>Тверская область</v>
          </cell>
        </row>
        <row r="3136">
          <cell r="AA3136" t="str">
            <v>Тверская область</v>
          </cell>
        </row>
        <row r="3137">
          <cell r="AA3137" t="str">
            <v>Тверская область</v>
          </cell>
        </row>
        <row r="3138">
          <cell r="AA3138" t="str">
            <v>Тверская область</v>
          </cell>
        </row>
        <row r="3139">
          <cell r="AA3139" t="str">
            <v>Тверская область</v>
          </cell>
        </row>
        <row r="3140">
          <cell r="AA3140" t="str">
            <v>Тверская область</v>
          </cell>
        </row>
        <row r="3141">
          <cell r="AA3141" t="str">
            <v>Тверская область</v>
          </cell>
        </row>
        <row r="3142">
          <cell r="AA3142" t="str">
            <v>Тверская область</v>
          </cell>
        </row>
        <row r="3143">
          <cell r="AA3143" t="str">
            <v>Тверская область</v>
          </cell>
        </row>
        <row r="3144">
          <cell r="AA3144" t="str">
            <v>Тверская область</v>
          </cell>
        </row>
        <row r="3145">
          <cell r="AA3145" t="str">
            <v>Тверская область</v>
          </cell>
        </row>
        <row r="3146">
          <cell r="AA3146" t="str">
            <v>Тверская область</v>
          </cell>
        </row>
        <row r="3147">
          <cell r="AA3147" t="str">
            <v>Тверская область</v>
          </cell>
        </row>
        <row r="3148">
          <cell r="AA3148" t="str">
            <v>Тверская область</v>
          </cell>
        </row>
        <row r="3149">
          <cell r="AA3149" t="str">
            <v>Тверская область</v>
          </cell>
        </row>
        <row r="3150">
          <cell r="AA3150" t="str">
            <v>Тверская область</v>
          </cell>
        </row>
        <row r="3151">
          <cell r="AA3151" t="str">
            <v>Тверская область</v>
          </cell>
        </row>
        <row r="3152">
          <cell r="AA3152" t="str">
            <v>Тверская область</v>
          </cell>
        </row>
        <row r="3153">
          <cell r="AA3153" t="str">
            <v>Тверская область</v>
          </cell>
        </row>
        <row r="3154">
          <cell r="AA3154" t="str">
            <v>Тверская область</v>
          </cell>
        </row>
        <row r="3155">
          <cell r="AA3155" t="str">
            <v>Тверская область</v>
          </cell>
        </row>
        <row r="3156">
          <cell r="AA3156" t="str">
            <v>Тверская область</v>
          </cell>
        </row>
        <row r="3157">
          <cell r="AA3157" t="str">
            <v>Тверская область</v>
          </cell>
        </row>
        <row r="3158">
          <cell r="AA3158" t="str">
            <v>Тверская область</v>
          </cell>
        </row>
        <row r="3159">
          <cell r="AA3159" t="str">
            <v>Тверская область</v>
          </cell>
        </row>
        <row r="3160">
          <cell r="AA3160" t="str">
            <v>Тверская область</v>
          </cell>
        </row>
        <row r="3161">
          <cell r="AA3161" t="str">
            <v>Тверская область</v>
          </cell>
        </row>
        <row r="3162">
          <cell r="AA3162" t="str">
            <v>Тверская область</v>
          </cell>
        </row>
        <row r="3163">
          <cell r="AA3163" t="str">
            <v>Тверская область</v>
          </cell>
        </row>
        <row r="3164">
          <cell r="AA3164" t="str">
            <v>Тверская область</v>
          </cell>
        </row>
        <row r="3165">
          <cell r="AA3165" t="str">
            <v>Тверская область</v>
          </cell>
        </row>
        <row r="3166">
          <cell r="AA3166" t="str">
            <v>Тверская область</v>
          </cell>
        </row>
        <row r="3167">
          <cell r="AA3167" t="str">
            <v>Тверская область</v>
          </cell>
        </row>
        <row r="3168">
          <cell r="AA3168" t="str">
            <v>Тверская область</v>
          </cell>
        </row>
        <row r="3169">
          <cell r="AA3169" t="str">
            <v>Томская область</v>
          </cell>
        </row>
        <row r="3170">
          <cell r="AA3170" t="str">
            <v>Томская область</v>
          </cell>
        </row>
        <row r="3171">
          <cell r="AA3171" t="str">
            <v>Томская область</v>
          </cell>
        </row>
        <row r="3172">
          <cell r="AA3172" t="str">
            <v>Томская область</v>
          </cell>
        </row>
        <row r="3173">
          <cell r="AA3173" t="str">
            <v>Томская область</v>
          </cell>
        </row>
        <row r="3174">
          <cell r="AA3174" t="str">
            <v>Томская область</v>
          </cell>
        </row>
        <row r="3175">
          <cell r="AA3175" t="str">
            <v>Томская область</v>
          </cell>
        </row>
        <row r="3176">
          <cell r="AA3176" t="str">
            <v>Томская область</v>
          </cell>
        </row>
        <row r="3177">
          <cell r="AA3177" t="str">
            <v>Томская область</v>
          </cell>
        </row>
        <row r="3178">
          <cell r="AA3178" t="str">
            <v>Томская область</v>
          </cell>
        </row>
        <row r="3179">
          <cell r="AA3179" t="str">
            <v>Томская область</v>
          </cell>
        </row>
        <row r="3180">
          <cell r="AA3180" t="str">
            <v>Томская область</v>
          </cell>
        </row>
        <row r="3181">
          <cell r="AA3181" t="str">
            <v>Томская область</v>
          </cell>
        </row>
        <row r="3182">
          <cell r="AA3182" t="str">
            <v>Томская область</v>
          </cell>
        </row>
        <row r="3183">
          <cell r="AA3183" t="str">
            <v>Томская область</v>
          </cell>
        </row>
        <row r="3184">
          <cell r="AA3184" t="str">
            <v>Томская область</v>
          </cell>
        </row>
        <row r="3185">
          <cell r="AA3185" t="str">
            <v>Томская область</v>
          </cell>
        </row>
        <row r="3186">
          <cell r="AA3186" t="str">
            <v>Томская область</v>
          </cell>
        </row>
        <row r="3187">
          <cell r="AA3187" t="str">
            <v>Томская область</v>
          </cell>
        </row>
        <row r="3188">
          <cell r="AA3188" t="str">
            <v>Томская область</v>
          </cell>
        </row>
        <row r="3189">
          <cell r="AA3189" t="str">
            <v>Томская область</v>
          </cell>
        </row>
        <row r="3190">
          <cell r="AA3190" t="str">
            <v>Томская область</v>
          </cell>
        </row>
        <row r="3191">
          <cell r="AA3191" t="str">
            <v>Томская область</v>
          </cell>
        </row>
        <row r="3192">
          <cell r="AA3192" t="str">
            <v>Томская область</v>
          </cell>
        </row>
        <row r="3193">
          <cell r="AA3193" t="str">
            <v>Томская область</v>
          </cell>
        </row>
        <row r="3194">
          <cell r="AA3194" t="str">
            <v>Томская область</v>
          </cell>
        </row>
        <row r="3195">
          <cell r="AA3195" t="str">
            <v>Томская область</v>
          </cell>
        </row>
        <row r="3196">
          <cell r="AA3196" t="str">
            <v>Томская область</v>
          </cell>
        </row>
        <row r="3197">
          <cell r="AA3197" t="str">
            <v>Томская область</v>
          </cell>
        </row>
        <row r="3198">
          <cell r="AA3198" t="str">
            <v>Томская область</v>
          </cell>
        </row>
        <row r="3199">
          <cell r="AA3199" t="str">
            <v>Томская область</v>
          </cell>
        </row>
        <row r="3200">
          <cell r="AA3200" t="str">
            <v>Томская область</v>
          </cell>
        </row>
        <row r="3201">
          <cell r="AA3201" t="str">
            <v>Томская область</v>
          </cell>
        </row>
        <row r="3202">
          <cell r="AA3202" t="str">
            <v>Тульская область</v>
          </cell>
        </row>
        <row r="3203">
          <cell r="AA3203" t="str">
            <v>Тульская область</v>
          </cell>
        </row>
        <row r="3204">
          <cell r="AA3204" t="str">
            <v>Тульская область</v>
          </cell>
        </row>
        <row r="3205">
          <cell r="AA3205" t="str">
            <v>Тульская область</v>
          </cell>
        </row>
        <row r="3206">
          <cell r="AA3206" t="str">
            <v>Тульская область</v>
          </cell>
        </row>
        <row r="3207">
          <cell r="AA3207" t="str">
            <v>Тульская область</v>
          </cell>
        </row>
        <row r="3208">
          <cell r="AA3208" t="str">
            <v>Тульская область</v>
          </cell>
        </row>
        <row r="3209">
          <cell r="AA3209" t="str">
            <v>Тульская область</v>
          </cell>
        </row>
        <row r="3210">
          <cell r="AA3210" t="str">
            <v>Тульская область</v>
          </cell>
        </row>
        <row r="3211">
          <cell r="AA3211" t="str">
            <v>Тульская область</v>
          </cell>
        </row>
        <row r="3212">
          <cell r="AA3212" t="str">
            <v>Тульская область</v>
          </cell>
        </row>
        <row r="3213">
          <cell r="AA3213" t="str">
            <v>Тульская область</v>
          </cell>
        </row>
        <row r="3214">
          <cell r="AA3214" t="str">
            <v>Тульская область</v>
          </cell>
        </row>
        <row r="3215">
          <cell r="AA3215" t="str">
            <v>Тульская область</v>
          </cell>
        </row>
        <row r="3216">
          <cell r="AA3216" t="str">
            <v>Тульская область</v>
          </cell>
        </row>
        <row r="3217">
          <cell r="AA3217" t="str">
            <v>Тульская область</v>
          </cell>
        </row>
        <row r="3218">
          <cell r="AA3218" t="str">
            <v>Тульская область</v>
          </cell>
        </row>
        <row r="3219">
          <cell r="AA3219" t="str">
            <v>Тульская область</v>
          </cell>
        </row>
        <row r="3220">
          <cell r="AA3220" t="str">
            <v>Тульская область</v>
          </cell>
        </row>
        <row r="3221">
          <cell r="AA3221" t="str">
            <v>Тульская область</v>
          </cell>
        </row>
        <row r="3222">
          <cell r="AA3222" t="str">
            <v>Тульская область</v>
          </cell>
        </row>
        <row r="3223">
          <cell r="AA3223" t="str">
            <v>Тульская область</v>
          </cell>
        </row>
        <row r="3224">
          <cell r="AA3224" t="str">
            <v>Тульская область</v>
          </cell>
        </row>
        <row r="3225">
          <cell r="AA3225" t="str">
            <v>Тульская область</v>
          </cell>
        </row>
        <row r="3226">
          <cell r="AA3226" t="str">
            <v>Тульская область</v>
          </cell>
        </row>
        <row r="3227">
          <cell r="AA3227" t="str">
            <v>Тульская область</v>
          </cell>
        </row>
        <row r="3228">
          <cell r="AA3228" t="str">
            <v>Тульская область</v>
          </cell>
        </row>
        <row r="3229">
          <cell r="AA3229" t="str">
            <v>Тульская область</v>
          </cell>
        </row>
        <row r="3230">
          <cell r="AA3230" t="str">
            <v>Тульская область</v>
          </cell>
        </row>
        <row r="3231">
          <cell r="AA3231" t="str">
            <v>Тульская область</v>
          </cell>
        </row>
        <row r="3232">
          <cell r="AA3232" t="str">
            <v>Тульская область</v>
          </cell>
        </row>
        <row r="3233">
          <cell r="AA3233" t="str">
            <v>Тульская область</v>
          </cell>
        </row>
        <row r="3234">
          <cell r="AA3234" t="str">
            <v>Тульская область</v>
          </cell>
        </row>
        <row r="3235">
          <cell r="AA3235" t="str">
            <v>Тюменская область</v>
          </cell>
        </row>
        <row r="3236">
          <cell r="AA3236" t="str">
            <v>Тюменская область</v>
          </cell>
        </row>
        <row r="3237">
          <cell r="AA3237" t="str">
            <v>Тюменская область</v>
          </cell>
        </row>
        <row r="3238">
          <cell r="AA3238" t="str">
            <v>Тюменская область</v>
          </cell>
        </row>
        <row r="3239">
          <cell r="AA3239" t="str">
            <v>Тюменская область</v>
          </cell>
        </row>
        <row r="3240">
          <cell r="AA3240" t="str">
            <v>Тюменская область</v>
          </cell>
        </row>
        <row r="3241">
          <cell r="AA3241" t="str">
            <v>Тюменская область</v>
          </cell>
        </row>
        <row r="3242">
          <cell r="AA3242" t="str">
            <v>Тюменская область</v>
          </cell>
        </row>
        <row r="3243">
          <cell r="AA3243" t="str">
            <v>Тюменская область</v>
          </cell>
        </row>
        <row r="3244">
          <cell r="AA3244" t="str">
            <v>Тюменская область</v>
          </cell>
        </row>
        <row r="3245">
          <cell r="AA3245" t="str">
            <v>Тюменская область</v>
          </cell>
        </row>
        <row r="3246">
          <cell r="AA3246" t="str">
            <v>Тюменская область</v>
          </cell>
        </row>
        <row r="3247">
          <cell r="AA3247" t="str">
            <v>Тюменская область</v>
          </cell>
        </row>
        <row r="3248">
          <cell r="AA3248" t="str">
            <v>Тюменская область</v>
          </cell>
        </row>
        <row r="3249">
          <cell r="AA3249" t="str">
            <v>Тюменская область</v>
          </cell>
        </row>
        <row r="3250">
          <cell r="AA3250" t="str">
            <v>Тюменская область</v>
          </cell>
        </row>
        <row r="3251">
          <cell r="AA3251" t="str">
            <v>Тюменская область</v>
          </cell>
        </row>
        <row r="3252">
          <cell r="AA3252" t="str">
            <v>Тюменская область</v>
          </cell>
        </row>
        <row r="3253">
          <cell r="AA3253" t="str">
            <v>Тюменская область</v>
          </cell>
        </row>
        <row r="3254">
          <cell r="AA3254" t="str">
            <v>Тюменская область</v>
          </cell>
        </row>
        <row r="3255">
          <cell r="AA3255" t="str">
            <v>Тюменская область</v>
          </cell>
        </row>
        <row r="3256">
          <cell r="AA3256" t="str">
            <v>Тюменская область</v>
          </cell>
        </row>
        <row r="3257">
          <cell r="AA3257" t="str">
            <v>Тюменская область</v>
          </cell>
        </row>
        <row r="3258">
          <cell r="AA3258" t="str">
            <v>Тюменская область</v>
          </cell>
        </row>
        <row r="3259">
          <cell r="AA3259" t="str">
            <v>Удмуртская Республика</v>
          </cell>
        </row>
        <row r="3260">
          <cell r="AA3260" t="str">
            <v>Удмуртская Республика</v>
          </cell>
        </row>
        <row r="3261">
          <cell r="AA3261" t="str">
            <v>Удмуртская Республика</v>
          </cell>
        </row>
        <row r="3262">
          <cell r="AA3262" t="str">
            <v>Удмуртская Республика</v>
          </cell>
        </row>
        <row r="3263">
          <cell r="AA3263" t="str">
            <v>Удмуртская Республика</v>
          </cell>
        </row>
        <row r="3264">
          <cell r="AA3264" t="str">
            <v>Удмуртская Республика</v>
          </cell>
        </row>
        <row r="3265">
          <cell r="AA3265" t="str">
            <v>Удмуртская Республика</v>
          </cell>
        </row>
        <row r="3266">
          <cell r="AA3266" t="str">
            <v>Удмуртская Республика</v>
          </cell>
        </row>
        <row r="3267">
          <cell r="AA3267" t="str">
            <v>Удмуртская Республика</v>
          </cell>
        </row>
        <row r="3268">
          <cell r="AA3268" t="str">
            <v>Удмуртская Республика</v>
          </cell>
        </row>
        <row r="3269">
          <cell r="AA3269" t="str">
            <v>Удмуртская Республика</v>
          </cell>
        </row>
        <row r="3270">
          <cell r="AA3270" t="str">
            <v>Удмуртская Республика</v>
          </cell>
        </row>
        <row r="3271">
          <cell r="AA3271" t="str">
            <v>Удмуртская Республика</v>
          </cell>
        </row>
        <row r="3272">
          <cell r="AA3272" t="str">
            <v>Удмуртская Республика</v>
          </cell>
        </row>
        <row r="3273">
          <cell r="AA3273" t="str">
            <v>Удмуртская Республика</v>
          </cell>
        </row>
        <row r="3274">
          <cell r="AA3274" t="str">
            <v>Удмуртская Республика</v>
          </cell>
        </row>
        <row r="3275">
          <cell r="AA3275" t="str">
            <v>Удмуртская Республика</v>
          </cell>
        </row>
        <row r="3276">
          <cell r="AA3276" t="str">
            <v>Удмуртская Республика</v>
          </cell>
        </row>
        <row r="3277">
          <cell r="AA3277" t="str">
            <v>Удмуртская Республика</v>
          </cell>
        </row>
        <row r="3278">
          <cell r="AA3278" t="str">
            <v>Удмуртская Республика</v>
          </cell>
        </row>
        <row r="3279">
          <cell r="AA3279" t="str">
            <v>Удмуртская Республика</v>
          </cell>
        </row>
        <row r="3280">
          <cell r="AA3280" t="str">
            <v>Удмуртская Республика</v>
          </cell>
        </row>
        <row r="3281">
          <cell r="AA3281" t="str">
            <v>Удмуртская Республика</v>
          </cell>
        </row>
        <row r="3282">
          <cell r="AA3282" t="str">
            <v>Удмуртская Республика</v>
          </cell>
        </row>
        <row r="3283">
          <cell r="AA3283" t="str">
            <v>Удмуртская Республика</v>
          </cell>
        </row>
        <row r="3284">
          <cell r="AA3284" t="str">
            <v>Удмуртская Республика</v>
          </cell>
        </row>
        <row r="3285">
          <cell r="AA3285" t="str">
            <v>Удмуртская Республика</v>
          </cell>
        </row>
        <row r="3286">
          <cell r="AA3286" t="str">
            <v>Удмуртская Республика</v>
          </cell>
        </row>
        <row r="3287">
          <cell r="AA3287" t="str">
            <v>Удмуртская Республика</v>
          </cell>
        </row>
        <row r="3288">
          <cell r="AA3288" t="str">
            <v>Удмуртская Республика</v>
          </cell>
        </row>
        <row r="3289">
          <cell r="AA3289" t="str">
            <v>Удмуртская Республика</v>
          </cell>
        </row>
        <row r="3290">
          <cell r="AA3290" t="str">
            <v>Удмуртская Республика</v>
          </cell>
        </row>
        <row r="3291">
          <cell r="AA3291" t="str">
            <v>Удмуртская Республика</v>
          </cell>
        </row>
        <row r="3292">
          <cell r="AA3292" t="str">
            <v>Удмуртская Республика</v>
          </cell>
        </row>
        <row r="3293">
          <cell r="AA3293" t="str">
            <v>Удмуртская Республика</v>
          </cell>
        </row>
        <row r="3294">
          <cell r="AA3294" t="str">
            <v>Удмуртская Республика</v>
          </cell>
        </row>
        <row r="3295">
          <cell r="AA3295" t="str">
            <v>Удмуртская Республика</v>
          </cell>
        </row>
        <row r="3296">
          <cell r="AA3296" t="str">
            <v>Удмуртская Республика</v>
          </cell>
        </row>
        <row r="3297">
          <cell r="AA3297" t="str">
            <v>Удмуртская Республика</v>
          </cell>
        </row>
        <row r="3298">
          <cell r="AA3298" t="str">
            <v>Удмуртская Республика</v>
          </cell>
        </row>
        <row r="3299">
          <cell r="AA3299" t="str">
            <v>Удмуртская Республика</v>
          </cell>
        </row>
        <row r="3300">
          <cell r="AA3300" t="str">
            <v>Удмуртская Республика</v>
          </cell>
        </row>
        <row r="3301">
          <cell r="AA3301" t="str">
            <v>Удмуртская Республика</v>
          </cell>
        </row>
        <row r="3302">
          <cell r="AA3302" t="str">
            <v>Удмуртская Республика</v>
          </cell>
        </row>
        <row r="3303">
          <cell r="AA3303" t="str">
            <v>Удмуртская Республика</v>
          </cell>
        </row>
        <row r="3304">
          <cell r="AA3304" t="str">
            <v>Удмуртская Республика</v>
          </cell>
        </row>
        <row r="3305">
          <cell r="AA3305" t="str">
            <v>Удмуртская Республика</v>
          </cell>
        </row>
        <row r="3306">
          <cell r="AA3306" t="str">
            <v>Удмуртская Республика</v>
          </cell>
        </row>
        <row r="3307">
          <cell r="AA3307" t="str">
            <v>Удмуртская Республика</v>
          </cell>
        </row>
        <row r="3308">
          <cell r="AA3308" t="str">
            <v>Удмуртская Республика</v>
          </cell>
        </row>
        <row r="3309">
          <cell r="AA3309" t="str">
            <v>Ульяновская область</v>
          </cell>
        </row>
        <row r="3310">
          <cell r="AA3310" t="str">
            <v>Ульяновская область</v>
          </cell>
        </row>
        <row r="3311">
          <cell r="AA3311" t="str">
            <v>Ульяновская область</v>
          </cell>
        </row>
        <row r="3312">
          <cell r="AA3312" t="str">
            <v>Ульяновская область</v>
          </cell>
        </row>
        <row r="3313">
          <cell r="AA3313" t="str">
            <v>Ульяновская область</v>
          </cell>
        </row>
        <row r="3314">
          <cell r="AA3314" t="str">
            <v>Ульяновская область</v>
          </cell>
        </row>
        <row r="3315">
          <cell r="AA3315" t="str">
            <v>Ульяновская область</v>
          </cell>
        </row>
        <row r="3316">
          <cell r="AA3316" t="str">
            <v>Ульяновская область</v>
          </cell>
        </row>
        <row r="3317">
          <cell r="AA3317" t="str">
            <v>Ульяновская область</v>
          </cell>
        </row>
        <row r="3318">
          <cell r="AA3318" t="str">
            <v>Ульяновская область</v>
          </cell>
        </row>
        <row r="3319">
          <cell r="AA3319" t="str">
            <v>Ульяновская область</v>
          </cell>
        </row>
        <row r="3320">
          <cell r="AA3320" t="str">
            <v>Ульяновская область</v>
          </cell>
        </row>
        <row r="3321">
          <cell r="AA3321" t="str">
            <v>Ульяновская область</v>
          </cell>
        </row>
        <row r="3322">
          <cell r="AA3322" t="str">
            <v>Ульяновская область</v>
          </cell>
        </row>
        <row r="3323">
          <cell r="AA3323" t="str">
            <v>Ульяновская область</v>
          </cell>
        </row>
        <row r="3324">
          <cell r="AA3324" t="str">
            <v>Ульяновская область</v>
          </cell>
        </row>
        <row r="3325">
          <cell r="AA3325" t="str">
            <v>Ульяновская область</v>
          </cell>
        </row>
        <row r="3326">
          <cell r="AA3326" t="str">
            <v>Ульяновская область</v>
          </cell>
        </row>
        <row r="3327">
          <cell r="AA3327" t="str">
            <v>Ульяновская область</v>
          </cell>
        </row>
        <row r="3328">
          <cell r="AA3328" t="str">
            <v>Ульяновская область</v>
          </cell>
        </row>
        <row r="3329">
          <cell r="AA3329" t="str">
            <v>Ульяновская область</v>
          </cell>
        </row>
        <row r="3330">
          <cell r="AA3330" t="str">
            <v>Ульяновская область</v>
          </cell>
        </row>
        <row r="3331">
          <cell r="AA3331" t="str">
            <v>Ульяновская область</v>
          </cell>
        </row>
        <row r="3332">
          <cell r="AA3332" t="str">
            <v>Ульяновская область</v>
          </cell>
        </row>
        <row r="3333">
          <cell r="AA3333" t="str">
            <v>Ульяновская область</v>
          </cell>
        </row>
        <row r="3334">
          <cell r="AA3334" t="str">
            <v>Ульяновская область</v>
          </cell>
        </row>
        <row r="3335">
          <cell r="AA3335" t="str">
            <v>Ульяновская область</v>
          </cell>
        </row>
        <row r="3336">
          <cell r="AA3336" t="str">
            <v>Ульяновская область</v>
          </cell>
        </row>
        <row r="3337">
          <cell r="AA3337" t="str">
            <v>Ульяновская область</v>
          </cell>
        </row>
        <row r="3338">
          <cell r="AA3338" t="str">
            <v>Ульяновская область</v>
          </cell>
        </row>
        <row r="3339">
          <cell r="AA3339" t="str">
            <v>Ульяновская область</v>
          </cell>
        </row>
        <row r="3340">
          <cell r="AA3340" t="str">
            <v>Ульяновская область</v>
          </cell>
        </row>
        <row r="3341">
          <cell r="AA3341" t="str">
            <v>Ульяновская область</v>
          </cell>
        </row>
        <row r="3342">
          <cell r="AA3342" t="str">
            <v>Ульяновская область</v>
          </cell>
        </row>
        <row r="3343">
          <cell r="AA3343" t="str">
            <v>Ульяновская область</v>
          </cell>
        </row>
        <row r="3344">
          <cell r="AA3344" t="str">
            <v>Ульяновская область</v>
          </cell>
        </row>
        <row r="3345">
          <cell r="AA3345" t="str">
            <v>Ульяновская область</v>
          </cell>
        </row>
        <row r="3346">
          <cell r="AA3346" t="str">
            <v>Ульяновская область</v>
          </cell>
        </row>
        <row r="3347">
          <cell r="AA3347" t="str">
            <v>Ульяновская область</v>
          </cell>
        </row>
        <row r="3348">
          <cell r="AA3348" t="str">
            <v>Ульяновская область</v>
          </cell>
        </row>
        <row r="3349">
          <cell r="AA3349" t="str">
            <v>Хабаровский край</v>
          </cell>
        </row>
        <row r="3350">
          <cell r="AA3350" t="str">
            <v>Хабаровский край</v>
          </cell>
        </row>
        <row r="3351">
          <cell r="AA3351" t="str">
            <v>Хабаровский край</v>
          </cell>
        </row>
        <row r="3352">
          <cell r="AA3352" t="str">
            <v>Хабаровский край</v>
          </cell>
        </row>
        <row r="3353">
          <cell r="AA3353" t="str">
            <v>Хабаровский край</v>
          </cell>
        </row>
        <row r="3354">
          <cell r="AA3354" t="str">
            <v>Хабаровский край</v>
          </cell>
        </row>
        <row r="3355">
          <cell r="AA3355" t="str">
            <v>Хабаровский край</v>
          </cell>
        </row>
        <row r="3356">
          <cell r="AA3356" t="str">
            <v>Хабаровский край</v>
          </cell>
        </row>
        <row r="3357">
          <cell r="AA3357" t="str">
            <v>Хабаровский край</v>
          </cell>
        </row>
        <row r="3358">
          <cell r="AA3358" t="str">
            <v>Хабаровский край</v>
          </cell>
        </row>
        <row r="3359">
          <cell r="AA3359" t="str">
            <v>Хабаровский край</v>
          </cell>
        </row>
        <row r="3360">
          <cell r="AA3360" t="str">
            <v>Хабаровский край</v>
          </cell>
        </row>
        <row r="3361">
          <cell r="AA3361" t="str">
            <v>Хабаровский край</v>
          </cell>
        </row>
        <row r="3362">
          <cell r="AA3362" t="str">
            <v>Хабаровский край</v>
          </cell>
        </row>
        <row r="3363">
          <cell r="AA3363" t="str">
            <v>Хабаровский край</v>
          </cell>
        </row>
        <row r="3364">
          <cell r="AA3364" t="str">
            <v>Хабаровский край</v>
          </cell>
        </row>
        <row r="3365">
          <cell r="AA3365" t="str">
            <v>Хабаровский край</v>
          </cell>
        </row>
        <row r="3366">
          <cell r="AA3366" t="str">
            <v>Хабаровский край</v>
          </cell>
        </row>
        <row r="3367">
          <cell r="AA3367" t="str">
            <v>Хабаровский край</v>
          </cell>
        </row>
        <row r="3368">
          <cell r="AA3368" t="str">
            <v>Хабаровский край</v>
          </cell>
        </row>
        <row r="3369">
          <cell r="AA3369" t="str">
            <v>Хабаровский край</v>
          </cell>
        </row>
        <row r="3370">
          <cell r="AA3370" t="str">
            <v>Хабаровский край</v>
          </cell>
        </row>
        <row r="3371">
          <cell r="AA3371" t="str">
            <v>Хабаровский край</v>
          </cell>
        </row>
        <row r="3372">
          <cell r="AA3372" t="str">
            <v>Хабаровский край</v>
          </cell>
        </row>
        <row r="3373">
          <cell r="AA3373" t="str">
            <v>Хабаровский край</v>
          </cell>
        </row>
        <row r="3374">
          <cell r="AA3374" t="str">
            <v>Хабаровский край</v>
          </cell>
        </row>
        <row r="3375">
          <cell r="AA3375" t="str">
            <v>Хабаровский край</v>
          </cell>
        </row>
        <row r="3376">
          <cell r="AA3376" t="str">
            <v>Хабаровский край</v>
          </cell>
        </row>
        <row r="3377">
          <cell r="AA3377" t="str">
            <v>Хабаровский край</v>
          </cell>
        </row>
        <row r="3378">
          <cell r="AA3378" t="str">
            <v>Хабаровский край</v>
          </cell>
        </row>
        <row r="3379">
          <cell r="AA3379" t="str">
            <v>Хабаровский край</v>
          </cell>
        </row>
        <row r="3380">
          <cell r="AA3380" t="str">
            <v>Хабаровский край</v>
          </cell>
        </row>
        <row r="3381">
          <cell r="AA3381" t="str">
            <v>Хабаровский край</v>
          </cell>
        </row>
        <row r="3382">
          <cell r="AA3382" t="str">
            <v>Хабаровский край</v>
          </cell>
        </row>
        <row r="3383">
          <cell r="AA3383" t="str">
            <v>Хабаровский край</v>
          </cell>
        </row>
        <row r="3384">
          <cell r="AA3384" t="str">
            <v>Хабаровский край</v>
          </cell>
        </row>
        <row r="3385">
          <cell r="AA3385" t="str">
            <v>Хабаровский край</v>
          </cell>
        </row>
        <row r="3386">
          <cell r="AA3386" t="str">
            <v>Хабаровский край</v>
          </cell>
        </row>
        <row r="3387">
          <cell r="AA3387" t="str">
            <v>Хабаровский край</v>
          </cell>
        </row>
        <row r="3388">
          <cell r="AA3388" t="str">
            <v>Ханты-Мансийский авт.округ-Югра</v>
          </cell>
        </row>
        <row r="3389">
          <cell r="AA3389" t="str">
            <v>Ханты-Мансийский авт.округ-Югра</v>
          </cell>
        </row>
        <row r="3390">
          <cell r="AA3390" t="str">
            <v>Ханты-Мансийский авт.округ-Югра</v>
          </cell>
        </row>
        <row r="3391">
          <cell r="AA3391" t="str">
            <v>Ханты-Мансийский авт.округ-Югра</v>
          </cell>
        </row>
        <row r="3392">
          <cell r="AA3392" t="str">
            <v>Ханты-Мансийский авт.округ-Югра</v>
          </cell>
        </row>
        <row r="3393">
          <cell r="AA3393" t="str">
            <v>Ханты-Мансийский авт.округ-Югра</v>
          </cell>
        </row>
        <row r="3394">
          <cell r="AA3394" t="str">
            <v>Ханты-Мансийский авт.округ-Югра</v>
          </cell>
        </row>
        <row r="3395">
          <cell r="AA3395" t="str">
            <v>Ханты-Мансийский авт.округ-Югра</v>
          </cell>
        </row>
        <row r="3396">
          <cell r="AA3396" t="str">
            <v>Ханты-Мансийский авт.округ-Югра</v>
          </cell>
        </row>
        <row r="3397">
          <cell r="AA3397" t="str">
            <v>Ханты-Мансийский авт.округ-Югра</v>
          </cell>
        </row>
        <row r="3398">
          <cell r="AA3398" t="str">
            <v>Ханты-Мансийский авт.округ-Югра</v>
          </cell>
        </row>
        <row r="3399">
          <cell r="AA3399" t="str">
            <v>Ханты-Мансийский авт.округ-Югра</v>
          </cell>
        </row>
        <row r="3400">
          <cell r="AA3400" t="str">
            <v>Ханты-Мансийский авт.округ-Югра</v>
          </cell>
        </row>
        <row r="3401">
          <cell r="AA3401" t="str">
            <v>Ханты-Мансийский авт.округ-Югра</v>
          </cell>
        </row>
        <row r="3402">
          <cell r="AA3402" t="str">
            <v>Ханты-Мансийский авт.округ-Югра</v>
          </cell>
        </row>
        <row r="3403">
          <cell r="AA3403" t="str">
            <v>Ханты-Мансийский авт.округ-Югра</v>
          </cell>
        </row>
        <row r="3404">
          <cell r="AA3404" t="str">
            <v>Ханты-Мансийский авт.округ-Югра</v>
          </cell>
        </row>
        <row r="3405">
          <cell r="AA3405" t="str">
            <v>Ханты-Мансийский авт.округ-Югра</v>
          </cell>
        </row>
        <row r="3406">
          <cell r="AA3406" t="str">
            <v>Ханты-Мансийский авт.округ-Югра</v>
          </cell>
        </row>
        <row r="3407">
          <cell r="AA3407" t="str">
            <v>Ханты-Мансийский авт.округ-Югра</v>
          </cell>
        </row>
        <row r="3408">
          <cell r="AA3408" t="str">
            <v>Ханты-Мансийский авт.округ-Югра</v>
          </cell>
        </row>
        <row r="3409">
          <cell r="AA3409" t="str">
            <v>Ханты-Мансийский авт.округ-Югра</v>
          </cell>
        </row>
        <row r="3410">
          <cell r="AA3410" t="str">
            <v>Ханты-Мансийский авт.округ-Югра</v>
          </cell>
        </row>
        <row r="3411">
          <cell r="AA3411" t="str">
            <v>Ханты-Мансийский авт.округ-Югра</v>
          </cell>
        </row>
        <row r="3412">
          <cell r="AA3412" t="str">
            <v>Ханты-Мансийский авт.округ-Югра</v>
          </cell>
        </row>
        <row r="3413">
          <cell r="AA3413" t="str">
            <v>Ханты-Мансийский авт.округ-Югра</v>
          </cell>
        </row>
        <row r="3414">
          <cell r="AA3414" t="str">
            <v>Ханты-Мансийский авт.округ-Югра</v>
          </cell>
        </row>
        <row r="3415">
          <cell r="AA3415" t="str">
            <v>Ханты-Мансийский авт.округ-Югра</v>
          </cell>
        </row>
        <row r="3416">
          <cell r="AA3416" t="str">
            <v>Ханты-Мансийский авт.округ-Югра</v>
          </cell>
        </row>
        <row r="3417">
          <cell r="AA3417" t="str">
            <v>Ханты-Мансийский авт.округ-Югра</v>
          </cell>
        </row>
        <row r="3418">
          <cell r="AA3418" t="str">
            <v>Ханты-Мансийский авт.округ-Югра</v>
          </cell>
        </row>
        <row r="3419">
          <cell r="AA3419" t="str">
            <v>Ханты-Мансийский авт.округ-Югра</v>
          </cell>
        </row>
        <row r="3420">
          <cell r="AA3420" t="str">
            <v>Ханты-Мансийский авт.округ-Югра</v>
          </cell>
        </row>
        <row r="3421">
          <cell r="AA3421" t="str">
            <v>Ханты-Мансийский авт.округ-Югра</v>
          </cell>
        </row>
        <row r="3422">
          <cell r="AA3422" t="str">
            <v>Ханты-Мансийский авт.округ-Югра</v>
          </cell>
        </row>
        <row r="3423">
          <cell r="AA3423" t="str">
            <v>Ханты-Мансийский авт.округ-Югра</v>
          </cell>
        </row>
        <row r="3424">
          <cell r="AA3424" t="str">
            <v>Ханты-Мансийский авт.округ-Югра</v>
          </cell>
        </row>
        <row r="3425">
          <cell r="AA3425" t="str">
            <v>Ханты-Мансийский авт.округ-Югра</v>
          </cell>
        </row>
        <row r="3426">
          <cell r="AA3426" t="str">
            <v>Челябинская область</v>
          </cell>
        </row>
        <row r="3427">
          <cell r="AA3427" t="str">
            <v>Челябинская область</v>
          </cell>
        </row>
        <row r="3428">
          <cell r="AA3428" t="str">
            <v>Челябинская область</v>
          </cell>
        </row>
        <row r="3429">
          <cell r="AA3429" t="str">
            <v>Челябинская область</v>
          </cell>
        </row>
        <row r="3430">
          <cell r="AA3430" t="str">
            <v>Челябинская область</v>
          </cell>
        </row>
        <row r="3431">
          <cell r="AA3431" t="str">
            <v>Челябинская область</v>
          </cell>
        </row>
        <row r="3432">
          <cell r="AA3432" t="str">
            <v>Челябинская область</v>
          </cell>
        </row>
        <row r="3433">
          <cell r="AA3433" t="str">
            <v>Челябинская область</v>
          </cell>
        </row>
        <row r="3434">
          <cell r="AA3434" t="str">
            <v>Челябинская область</v>
          </cell>
        </row>
        <row r="3435">
          <cell r="AA3435" t="str">
            <v>Челябинская область</v>
          </cell>
        </row>
        <row r="3436">
          <cell r="AA3436" t="str">
            <v>Челябинская область</v>
          </cell>
        </row>
        <row r="3437">
          <cell r="AA3437" t="str">
            <v>Челябинская область</v>
          </cell>
        </row>
        <row r="3438">
          <cell r="AA3438" t="str">
            <v>Челябинская область</v>
          </cell>
        </row>
        <row r="3439">
          <cell r="AA3439" t="str">
            <v>Челябинская область</v>
          </cell>
        </row>
        <row r="3440">
          <cell r="AA3440" t="str">
            <v>Челябинская область</v>
          </cell>
        </row>
        <row r="3441">
          <cell r="AA3441" t="str">
            <v>Челябинская область</v>
          </cell>
        </row>
        <row r="3442">
          <cell r="AA3442" t="str">
            <v>Челябинская область</v>
          </cell>
        </row>
        <row r="3443">
          <cell r="AA3443" t="str">
            <v>Челябинская область</v>
          </cell>
        </row>
        <row r="3444">
          <cell r="AA3444" t="str">
            <v>Челябинская область</v>
          </cell>
        </row>
        <row r="3445">
          <cell r="AA3445" t="str">
            <v>Челябинская область</v>
          </cell>
        </row>
        <row r="3446">
          <cell r="AA3446" t="str">
            <v>Челябинская область</v>
          </cell>
        </row>
        <row r="3447">
          <cell r="AA3447" t="str">
            <v>Челябинская область</v>
          </cell>
        </row>
        <row r="3448">
          <cell r="AA3448" t="str">
            <v>Челябинская область</v>
          </cell>
        </row>
        <row r="3449">
          <cell r="AA3449" t="str">
            <v>Челябинская область</v>
          </cell>
        </row>
        <row r="3450">
          <cell r="AA3450" t="str">
            <v>Челябинская область</v>
          </cell>
        </row>
        <row r="3451">
          <cell r="AA3451" t="str">
            <v>Челябинская область</v>
          </cell>
        </row>
        <row r="3452">
          <cell r="AA3452" t="str">
            <v>Челябинская область</v>
          </cell>
        </row>
        <row r="3453">
          <cell r="AA3453" t="str">
            <v>Челябинская область</v>
          </cell>
        </row>
        <row r="3454">
          <cell r="AA3454" t="str">
            <v>Челябинская область</v>
          </cell>
        </row>
        <row r="3455">
          <cell r="AA3455" t="str">
            <v>Челябинская область</v>
          </cell>
        </row>
        <row r="3456">
          <cell r="AA3456" t="str">
            <v>Челябинская область</v>
          </cell>
        </row>
        <row r="3457">
          <cell r="AA3457" t="str">
            <v>Челябинская область</v>
          </cell>
        </row>
        <row r="3458">
          <cell r="AA3458" t="str">
            <v>Челябинская область</v>
          </cell>
        </row>
        <row r="3459">
          <cell r="AA3459" t="str">
            <v>Челябинская область</v>
          </cell>
        </row>
        <row r="3460">
          <cell r="AA3460" t="str">
            <v>Челябинская область</v>
          </cell>
        </row>
        <row r="3461">
          <cell r="AA3461" t="str">
            <v>Челябинская область</v>
          </cell>
        </row>
        <row r="3462">
          <cell r="AA3462" t="str">
            <v>Челябинская область</v>
          </cell>
        </row>
        <row r="3463">
          <cell r="AA3463" t="str">
            <v>Челябинская область</v>
          </cell>
        </row>
        <row r="3464">
          <cell r="AA3464" t="str">
            <v>Челябинская область</v>
          </cell>
        </row>
        <row r="3465">
          <cell r="AA3465" t="str">
            <v>Челябинская область</v>
          </cell>
        </row>
        <row r="3466">
          <cell r="AA3466" t="str">
            <v>Челябинская область</v>
          </cell>
        </row>
        <row r="3467">
          <cell r="AA3467" t="str">
            <v>Челябинская область</v>
          </cell>
        </row>
        <row r="3468">
          <cell r="AA3468" t="str">
            <v>Челябинская область</v>
          </cell>
        </row>
        <row r="3469">
          <cell r="AA3469" t="str">
            <v>Челябинская область</v>
          </cell>
        </row>
        <row r="3470">
          <cell r="AA3470" t="str">
            <v>Челябинская область</v>
          </cell>
        </row>
        <row r="3471">
          <cell r="AA3471" t="str">
            <v>Челябинская область</v>
          </cell>
        </row>
        <row r="3472">
          <cell r="AA3472" t="str">
            <v>Челябинская область</v>
          </cell>
        </row>
        <row r="3473">
          <cell r="AA3473" t="str">
            <v>Челябинская область</v>
          </cell>
        </row>
        <row r="3474">
          <cell r="AA3474" t="str">
            <v>Челябинская область</v>
          </cell>
        </row>
        <row r="3475">
          <cell r="AA3475" t="str">
            <v>Челябинская область</v>
          </cell>
        </row>
        <row r="3476">
          <cell r="AA3476" t="str">
            <v>Челябинская область</v>
          </cell>
        </row>
        <row r="3477">
          <cell r="AA3477" t="str">
            <v>Челябинская область</v>
          </cell>
        </row>
        <row r="3478">
          <cell r="AA3478" t="str">
            <v>Челябинская область</v>
          </cell>
        </row>
        <row r="3479">
          <cell r="AA3479" t="str">
            <v>Челябинская область</v>
          </cell>
        </row>
        <row r="3480">
          <cell r="AA3480" t="str">
            <v>Челябинская область</v>
          </cell>
        </row>
        <row r="3481">
          <cell r="AA3481" t="str">
            <v>Челябинская область</v>
          </cell>
        </row>
        <row r="3482">
          <cell r="AA3482" t="str">
            <v>Челябинская область</v>
          </cell>
        </row>
        <row r="3483">
          <cell r="AA3483" t="str">
            <v>Челябинская область</v>
          </cell>
        </row>
        <row r="3484">
          <cell r="AA3484" t="str">
            <v>Челябинская область</v>
          </cell>
        </row>
        <row r="3485">
          <cell r="AA3485" t="str">
            <v>Челябинская область</v>
          </cell>
        </row>
        <row r="3486">
          <cell r="AA3486" t="str">
            <v>Челябинская область</v>
          </cell>
        </row>
        <row r="3487">
          <cell r="AA3487" t="str">
            <v>Челябинская область</v>
          </cell>
        </row>
        <row r="3488">
          <cell r="AA3488" t="str">
            <v>Челябинская область</v>
          </cell>
        </row>
        <row r="3489">
          <cell r="AA3489" t="str">
            <v>Челябинская область</v>
          </cell>
        </row>
        <row r="3490">
          <cell r="AA3490" t="str">
            <v>Челябинская область</v>
          </cell>
        </row>
        <row r="3491">
          <cell r="AA3491" t="str">
            <v>Челябинская область</v>
          </cell>
        </row>
        <row r="3492">
          <cell r="AA3492" t="str">
            <v>Челябинская область</v>
          </cell>
        </row>
        <row r="3493">
          <cell r="AA3493" t="str">
            <v>Челябинская область</v>
          </cell>
        </row>
        <row r="3494">
          <cell r="AA3494" t="str">
            <v>Челябинская область</v>
          </cell>
        </row>
        <row r="3495">
          <cell r="AA3495" t="str">
            <v>Челябинская область</v>
          </cell>
        </row>
        <row r="3496">
          <cell r="AA3496" t="str">
            <v>Челябинская область</v>
          </cell>
        </row>
        <row r="3497">
          <cell r="AA3497" t="str">
            <v>Челябинская область</v>
          </cell>
        </row>
        <row r="3498">
          <cell r="AA3498" t="str">
            <v>Челябинская область</v>
          </cell>
        </row>
        <row r="3499">
          <cell r="AA3499" t="str">
            <v>Челябинская область</v>
          </cell>
        </row>
        <row r="3500">
          <cell r="AA3500" t="str">
            <v>Челябинская область</v>
          </cell>
        </row>
        <row r="3501">
          <cell r="AA3501" t="str">
            <v>Челябинская область</v>
          </cell>
        </row>
        <row r="3502">
          <cell r="AA3502" t="str">
            <v>Челябинская область</v>
          </cell>
        </row>
        <row r="3503">
          <cell r="AA3503" t="str">
            <v>Челябинская область</v>
          </cell>
        </row>
        <row r="3504">
          <cell r="AA3504" t="str">
            <v>Челябинская область</v>
          </cell>
        </row>
        <row r="3505">
          <cell r="AA3505" t="str">
            <v>Челябинская область</v>
          </cell>
        </row>
        <row r="3506">
          <cell r="AA3506" t="str">
            <v>Челябинская область</v>
          </cell>
        </row>
        <row r="3507">
          <cell r="AA3507" t="str">
            <v>Челябинская область</v>
          </cell>
        </row>
        <row r="3508">
          <cell r="AA3508" t="str">
            <v>Челябинская область</v>
          </cell>
        </row>
        <row r="3509">
          <cell r="AA3509" t="str">
            <v>Челябинская область</v>
          </cell>
        </row>
        <row r="3510">
          <cell r="AA3510" t="str">
            <v>Челябинская область</v>
          </cell>
        </row>
        <row r="3511">
          <cell r="AA3511" t="str">
            <v>Челябинская область</v>
          </cell>
        </row>
        <row r="3512">
          <cell r="AA3512" t="str">
            <v>Челябинская область</v>
          </cell>
        </row>
        <row r="3513">
          <cell r="AA3513" t="str">
            <v>Челябинская область</v>
          </cell>
        </row>
        <row r="3514">
          <cell r="AA3514" t="str">
            <v>Челябинская область</v>
          </cell>
        </row>
        <row r="3515">
          <cell r="AA3515" t="str">
            <v>Челябинская область</v>
          </cell>
        </row>
        <row r="3516">
          <cell r="AA3516" t="str">
            <v>Челябинская область</v>
          </cell>
        </row>
        <row r="3517">
          <cell r="AA3517" t="str">
            <v>Челябинская область</v>
          </cell>
        </row>
        <row r="3518">
          <cell r="AA3518" t="str">
            <v>Челябинская область</v>
          </cell>
        </row>
        <row r="3519">
          <cell r="AA3519" t="str">
            <v>Челябинская область</v>
          </cell>
        </row>
        <row r="3520">
          <cell r="AA3520" t="str">
            <v>Челябинская область</v>
          </cell>
        </row>
        <row r="3521">
          <cell r="AA3521" t="str">
            <v>Челябинская область</v>
          </cell>
        </row>
        <row r="3522">
          <cell r="AA3522" t="str">
            <v>Челябинская область</v>
          </cell>
        </row>
        <row r="3523">
          <cell r="AA3523" t="str">
            <v>Челябинская область</v>
          </cell>
        </row>
        <row r="3524">
          <cell r="AA3524" t="str">
            <v>Челябинская область</v>
          </cell>
        </row>
        <row r="3525">
          <cell r="AA3525" t="str">
            <v>Челябинская область</v>
          </cell>
        </row>
        <row r="3526">
          <cell r="AA3526" t="str">
            <v>Челябинская область</v>
          </cell>
        </row>
        <row r="3527">
          <cell r="AA3527" t="str">
            <v>Чеченская Республика</v>
          </cell>
        </row>
        <row r="3528">
          <cell r="AA3528" t="str">
            <v>Чеченская Республика</v>
          </cell>
        </row>
        <row r="3529">
          <cell r="AA3529" t="str">
            <v>Чеченская Республика</v>
          </cell>
        </row>
        <row r="3530">
          <cell r="AA3530" t="str">
            <v>Чеченская Республика</v>
          </cell>
        </row>
        <row r="3531">
          <cell r="AA3531" t="str">
            <v>Чеченская Республика</v>
          </cell>
        </row>
        <row r="3532">
          <cell r="AA3532" t="str">
            <v>Чеченская Республика</v>
          </cell>
        </row>
        <row r="3533">
          <cell r="AA3533" t="str">
            <v>Чеченская Республика</v>
          </cell>
        </row>
        <row r="3534">
          <cell r="AA3534" t="str">
            <v>Чеченская Республика</v>
          </cell>
        </row>
        <row r="3535">
          <cell r="AA3535" t="str">
            <v>Чеченская Республика</v>
          </cell>
        </row>
        <row r="3536">
          <cell r="AA3536" t="str">
            <v>Чеченская Республика</v>
          </cell>
        </row>
        <row r="3537">
          <cell r="AA3537" t="str">
            <v>Чеченская Республика</v>
          </cell>
        </row>
        <row r="3538">
          <cell r="AA3538" t="str">
            <v>Чеченская Республика</v>
          </cell>
        </row>
        <row r="3539">
          <cell r="AA3539" t="str">
            <v>Чеченская Республика</v>
          </cell>
        </row>
        <row r="3540">
          <cell r="AA3540" t="str">
            <v>Чеченская Республика</v>
          </cell>
        </row>
        <row r="3541">
          <cell r="AA3541" t="str">
            <v>Чеченская Республика</v>
          </cell>
        </row>
        <row r="3542">
          <cell r="AA3542" t="str">
            <v>Чеченская Республика</v>
          </cell>
        </row>
        <row r="3543">
          <cell r="AA3543" t="str">
            <v>Чеченская Республика</v>
          </cell>
        </row>
        <row r="3544">
          <cell r="AA3544" t="str">
            <v>Чеченская Республика</v>
          </cell>
        </row>
        <row r="3545">
          <cell r="AA3545" t="str">
            <v>Чеченская Республика</v>
          </cell>
        </row>
        <row r="3546">
          <cell r="AA3546" t="str">
            <v>Чеченская Республика</v>
          </cell>
        </row>
        <row r="3547">
          <cell r="AA3547" t="str">
            <v>Чеченская Республика</v>
          </cell>
        </row>
        <row r="3548">
          <cell r="AA3548" t="str">
            <v>Чеченская Республика</v>
          </cell>
        </row>
        <row r="3549">
          <cell r="AA3549" t="str">
            <v>Чеченская Республика</v>
          </cell>
        </row>
        <row r="3550">
          <cell r="AA3550" t="str">
            <v>Чеченская Республика</v>
          </cell>
        </row>
        <row r="3551">
          <cell r="AA3551" t="str">
            <v>Чеченская Республика</v>
          </cell>
        </row>
        <row r="3552">
          <cell r="AA3552" t="str">
            <v>Чеченская Республика</v>
          </cell>
        </row>
        <row r="3553">
          <cell r="AA3553" t="str">
            <v>Чеченская Республика</v>
          </cell>
        </row>
        <row r="3554">
          <cell r="AA3554" t="str">
            <v>Чеченская Республика</v>
          </cell>
        </row>
        <row r="3555">
          <cell r="AA3555" t="str">
            <v>Чеченская Республика</v>
          </cell>
        </row>
        <row r="3556">
          <cell r="AA3556" t="str">
            <v>Чеченская Республика</v>
          </cell>
        </row>
        <row r="3557">
          <cell r="AA3557" t="str">
            <v>Чеченская Республика</v>
          </cell>
        </row>
        <row r="3558">
          <cell r="AA3558" t="str">
            <v>Чувашская Республика(Чувашия)</v>
          </cell>
        </row>
        <row r="3559">
          <cell r="AA3559" t="str">
            <v>Чувашская Республика(Чувашия)</v>
          </cell>
        </row>
        <row r="3560">
          <cell r="AA3560" t="str">
            <v>Чувашская Республика(Чувашия)</v>
          </cell>
        </row>
        <row r="3561">
          <cell r="AA3561" t="str">
            <v>Чувашская Республика(Чувашия)</v>
          </cell>
        </row>
        <row r="3562">
          <cell r="AA3562" t="str">
            <v>Чувашская Республика(Чувашия)</v>
          </cell>
        </row>
        <row r="3563">
          <cell r="AA3563" t="str">
            <v>Чувашская Республика(Чувашия)</v>
          </cell>
        </row>
        <row r="3564">
          <cell r="AA3564" t="str">
            <v>Чувашская Республика(Чувашия)</v>
          </cell>
        </row>
        <row r="3565">
          <cell r="AA3565" t="str">
            <v>Чувашская Республика(Чувашия)</v>
          </cell>
        </row>
        <row r="3566">
          <cell r="AA3566" t="str">
            <v>Чувашская Республика(Чувашия)</v>
          </cell>
        </row>
        <row r="3567">
          <cell r="AA3567" t="str">
            <v>Чувашская Республика(Чувашия)</v>
          </cell>
        </row>
        <row r="3568">
          <cell r="AA3568" t="str">
            <v>Чувашская Республика(Чувашия)</v>
          </cell>
        </row>
        <row r="3569">
          <cell r="AA3569" t="str">
            <v>Чувашская Республика(Чувашия)</v>
          </cell>
        </row>
        <row r="3570">
          <cell r="AA3570" t="str">
            <v>Чувашская Республика(Чувашия)</v>
          </cell>
        </row>
        <row r="3571">
          <cell r="AA3571" t="str">
            <v>Чувашская Республика(Чувашия)</v>
          </cell>
        </row>
        <row r="3572">
          <cell r="AA3572" t="str">
            <v>Чувашская Республика(Чувашия)</v>
          </cell>
        </row>
        <row r="3573">
          <cell r="AA3573" t="str">
            <v>Чувашская Республика(Чувашия)</v>
          </cell>
        </row>
        <row r="3574">
          <cell r="AA3574" t="str">
            <v>Чувашская Республика(Чувашия)</v>
          </cell>
        </row>
        <row r="3575">
          <cell r="AA3575" t="str">
            <v>Чувашская Республика(Чувашия)</v>
          </cell>
        </row>
        <row r="3576">
          <cell r="AA3576" t="str">
            <v>Чувашская Республика(Чувашия)</v>
          </cell>
        </row>
        <row r="3577">
          <cell r="AA3577" t="str">
            <v>Чувашская Республика(Чувашия)</v>
          </cell>
        </row>
        <row r="3578">
          <cell r="AA3578" t="str">
            <v>Чувашская Республика(Чувашия)</v>
          </cell>
        </row>
        <row r="3579">
          <cell r="AA3579" t="str">
            <v>Чувашская Республика(Чувашия)</v>
          </cell>
        </row>
        <row r="3580">
          <cell r="AA3580" t="str">
            <v>Чувашская Республика(Чувашия)</v>
          </cell>
        </row>
        <row r="3581">
          <cell r="AA3581" t="str">
            <v>Чувашская Республика(Чувашия)</v>
          </cell>
        </row>
        <row r="3582">
          <cell r="AA3582" t="str">
            <v>Чувашская Республика(Чувашия)</v>
          </cell>
        </row>
        <row r="3583">
          <cell r="AA3583" t="str">
            <v>Чувашская Республика(Чувашия)</v>
          </cell>
        </row>
        <row r="3584">
          <cell r="AA3584" t="str">
            <v>Чувашская Республика(Чувашия)</v>
          </cell>
        </row>
        <row r="3585">
          <cell r="AA3585" t="str">
            <v>Чувашская Республика(Чувашия)</v>
          </cell>
        </row>
        <row r="3586">
          <cell r="AA3586" t="str">
            <v>Чувашская Республика(Чувашия)</v>
          </cell>
        </row>
        <row r="3587">
          <cell r="AA3587" t="str">
            <v>Чувашская Республика(Чувашия)</v>
          </cell>
        </row>
        <row r="3588">
          <cell r="AA3588" t="str">
            <v>Чувашская Республика(Чувашия)</v>
          </cell>
        </row>
        <row r="3589">
          <cell r="AA3589" t="str">
            <v>Чувашская Республика(Чувашия)</v>
          </cell>
        </row>
        <row r="3590">
          <cell r="AA3590" t="str">
            <v>Чувашская Республика(Чувашия)</v>
          </cell>
        </row>
        <row r="3591">
          <cell r="AA3591" t="str">
            <v>Чувашская Республика(Чувашия)</v>
          </cell>
        </row>
        <row r="3592">
          <cell r="AA3592" t="str">
            <v>Чукотский авт.округ</v>
          </cell>
        </row>
        <row r="3593">
          <cell r="AA3593" t="str">
            <v>Чукотский авт.округ</v>
          </cell>
        </row>
        <row r="3594">
          <cell r="AA3594" t="str">
            <v>Чукотский авт.округ</v>
          </cell>
        </row>
        <row r="3595">
          <cell r="AA3595" t="str">
            <v>Чукотский авт.округ</v>
          </cell>
        </row>
        <row r="3596">
          <cell r="AA3596" t="str">
            <v>Чукотский авт.округ</v>
          </cell>
        </row>
        <row r="3597">
          <cell r="AA3597" t="str">
            <v>Чукотский авт.округ</v>
          </cell>
        </row>
        <row r="3598">
          <cell r="AA3598" t="str">
            <v>Ямало-Hенецкий авт.округ</v>
          </cell>
        </row>
        <row r="3599">
          <cell r="AA3599" t="str">
            <v>Ямало-Hенецкий авт.округ</v>
          </cell>
        </row>
        <row r="3600">
          <cell r="AA3600" t="str">
            <v>Ямало-Hенецкий авт.округ</v>
          </cell>
        </row>
        <row r="3601">
          <cell r="AA3601" t="str">
            <v>Ямало-Hенецкий авт.округ</v>
          </cell>
        </row>
        <row r="3602">
          <cell r="AA3602" t="str">
            <v>Ямало-Hенецкий авт.округ</v>
          </cell>
        </row>
        <row r="3603">
          <cell r="AA3603" t="str">
            <v>Ямало-Hенецкий авт.округ</v>
          </cell>
        </row>
        <row r="3604">
          <cell r="AA3604" t="str">
            <v>Ямало-Hенецкий авт.округ</v>
          </cell>
        </row>
        <row r="3605">
          <cell r="AA3605" t="str">
            <v>Ямало-Hенецкий авт.округ</v>
          </cell>
        </row>
        <row r="3606">
          <cell r="AA3606" t="str">
            <v>Ямало-Hенецкий авт.округ</v>
          </cell>
        </row>
        <row r="3607">
          <cell r="AA3607" t="str">
            <v>Ямало-Hенецкий авт.округ</v>
          </cell>
        </row>
        <row r="3608">
          <cell r="AA3608" t="str">
            <v>Ямало-Hенецкий авт.округ</v>
          </cell>
        </row>
        <row r="3609">
          <cell r="AA3609" t="str">
            <v>Ямало-Hенецкий авт.округ</v>
          </cell>
        </row>
        <row r="3610">
          <cell r="AA3610" t="str">
            <v>Ямало-Hенецкий авт.округ</v>
          </cell>
        </row>
        <row r="3611">
          <cell r="AA3611" t="str">
            <v>Ямало-Hенецкий авт.округ</v>
          </cell>
        </row>
        <row r="3612">
          <cell r="AA3612" t="str">
            <v>Ярославская область</v>
          </cell>
        </row>
        <row r="3613">
          <cell r="AA3613" t="str">
            <v>Ярославская область</v>
          </cell>
        </row>
        <row r="3614">
          <cell r="AA3614" t="str">
            <v>Ярославская область</v>
          </cell>
        </row>
        <row r="3615">
          <cell r="AA3615" t="str">
            <v>Ярославская область</v>
          </cell>
        </row>
        <row r="3616">
          <cell r="AA3616" t="str">
            <v>Ярославская область</v>
          </cell>
        </row>
        <row r="3617">
          <cell r="AA3617" t="str">
            <v>Ярославская область</v>
          </cell>
        </row>
        <row r="3618">
          <cell r="AA3618" t="str">
            <v>Ярославская область</v>
          </cell>
        </row>
        <row r="3619">
          <cell r="AA3619" t="str">
            <v>Ярославская область</v>
          </cell>
        </row>
        <row r="3620">
          <cell r="AA3620" t="str">
            <v>Ярославская область</v>
          </cell>
        </row>
        <row r="3621">
          <cell r="AA3621" t="str">
            <v>Ярославская область</v>
          </cell>
        </row>
        <row r="3622">
          <cell r="AA3622" t="str">
            <v>Ярославская область</v>
          </cell>
        </row>
        <row r="3623">
          <cell r="AA3623" t="str">
            <v>Ярославская область</v>
          </cell>
        </row>
        <row r="3624">
          <cell r="AA3624" t="str">
            <v>Ярославская область</v>
          </cell>
        </row>
        <row r="3625">
          <cell r="AA3625" t="str">
            <v>Ярославская область</v>
          </cell>
        </row>
        <row r="3626">
          <cell r="AA3626" t="str">
            <v>Ярославская область</v>
          </cell>
        </row>
        <row r="3627">
          <cell r="AA3627" t="str">
            <v>Ярославская область</v>
          </cell>
        </row>
        <row r="3628">
          <cell r="AA3628" t="str">
            <v>Ярославская область</v>
          </cell>
        </row>
        <row r="3629">
          <cell r="AA3629" t="str">
            <v>Ярославская область</v>
          </cell>
        </row>
        <row r="3630">
          <cell r="AA3630" t="str">
            <v>Ярославская область</v>
          </cell>
        </row>
        <row r="3631">
          <cell r="AA3631" t="str">
            <v>Ярославская область</v>
          </cell>
        </row>
        <row r="3632">
          <cell r="AA3632" t="str">
            <v>Ярославская область</v>
          </cell>
        </row>
        <row r="3633">
          <cell r="AA3633" t="str">
            <v>Ярославская область</v>
          </cell>
        </row>
        <row r="3634">
          <cell r="AA3634" t="str">
            <v>Ярославская область</v>
          </cell>
        </row>
        <row r="3635">
          <cell r="AA3635" t="str">
            <v>Ярославская область</v>
          </cell>
        </row>
        <row r="3636">
          <cell r="AA3636" t="str">
            <v>Ярославская область</v>
          </cell>
        </row>
        <row r="3637">
          <cell r="AA3637" t="str">
            <v>Ярославская область</v>
          </cell>
        </row>
        <row r="3638">
          <cell r="AA3638" t="str">
            <v>Ярославская область</v>
          </cell>
        </row>
        <row r="3639">
          <cell r="AA3639" t="str">
            <v>Ярославская область</v>
          </cell>
        </row>
        <row r="3640">
          <cell r="AA3640" t="str">
            <v>Ярославская область</v>
          </cell>
        </row>
        <row r="3641">
          <cell r="AA3641" t="str">
            <v>Ярославская область</v>
          </cell>
        </row>
        <row r="3642">
          <cell r="AA3642" t="str">
            <v>Ярославская область</v>
          </cell>
        </row>
        <row r="3643">
          <cell r="AA3643" t="str">
            <v>Ярославская область</v>
          </cell>
        </row>
        <row r="3644">
          <cell r="AA3644" t="str">
            <v>Ярославская область</v>
          </cell>
        </row>
        <row r="3645">
          <cell r="AA3645" t="str">
            <v>Ярославская область</v>
          </cell>
        </row>
        <row r="3646">
          <cell r="AA3646" t="str">
            <v>Ярославская область</v>
          </cell>
        </row>
        <row r="3647">
          <cell r="AA3647" t="str">
            <v>Ярославская область</v>
          </cell>
        </row>
        <row r="3648">
          <cell r="AA3648" t="str">
            <v>Ярославская область</v>
          </cell>
        </row>
        <row r="3649">
          <cell r="AA3649" t="str">
            <v>Ярославская область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vo.garant.ru/document/redirect/179064/0" TargetMode="External"/><Relationship Id="rId1" Type="http://schemas.openxmlformats.org/officeDocument/2006/relationships/hyperlink" Target="http://ivo.garant.ru/document/redirect/70650726/0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ivo.garant.ru/document/redirect/179222/792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vo.garant.ru/document/redirect/179222/792" TargetMode="External"/><Relationship Id="rId1" Type="http://schemas.openxmlformats.org/officeDocument/2006/relationships/hyperlink" Target="http://ivo.garant.ru/document/redirect/4100000/0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ivo.garant.ru/document/redirect/179222/792" TargetMode="External"/><Relationship Id="rId1" Type="http://schemas.openxmlformats.org/officeDocument/2006/relationships/hyperlink" Target="http://ivo.garant.ru/document/redirect/179222/792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vo.garant.ru/document/redirect/179222/64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vo.garant.ru/document/redirect/179222/64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ivo.garant.ru/document/redirect/179222/79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ivo.garant.ru/document/redirect/179222/792" TargetMode="External"/><Relationship Id="rId1" Type="http://schemas.openxmlformats.org/officeDocument/2006/relationships/hyperlink" Target="http://ivo.garant.ru/document/redirect/4100000/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ivo.garant.ru/document/redirect/179222/792" TargetMode="External"/><Relationship Id="rId1" Type="http://schemas.openxmlformats.org/officeDocument/2006/relationships/hyperlink" Target="http://ivo.garant.ru/document/redirect/4100000/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ivo.garant.ru/document/redirect/179222/792" TargetMode="External"/><Relationship Id="rId1" Type="http://schemas.openxmlformats.org/officeDocument/2006/relationships/hyperlink" Target="http://ivo.garant.ru/document/redirect/4100000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0" tint="-4.9989318521683403E-2"/>
    <pageSetUpPr fitToPage="1"/>
  </sheetPr>
  <dimension ref="B2:H33"/>
  <sheetViews>
    <sheetView topLeftCell="A7" zoomScale="70" zoomScaleNormal="70" workbookViewId="0">
      <selection activeCell="H12" sqref="H12"/>
    </sheetView>
  </sheetViews>
  <sheetFormatPr defaultColWidth="9.140625" defaultRowHeight="15" x14ac:dyDescent="0.25"/>
  <cols>
    <col min="1" max="1" width="9.140625" style="159"/>
    <col min="2" max="2" width="88.42578125" style="159" customWidth="1"/>
    <col min="3" max="4" width="19.5703125" style="159" customWidth="1"/>
    <col min="5" max="5" width="14.5703125" style="159" customWidth="1"/>
    <col min="6" max="6" width="6.7109375" style="159" customWidth="1"/>
    <col min="7" max="7" width="23.85546875" style="159" customWidth="1"/>
    <col min="8" max="8" width="19.5703125" style="159" customWidth="1"/>
    <col min="9" max="10" width="10.85546875" style="159" customWidth="1"/>
    <col min="11" max="16384" width="9.140625" style="159"/>
  </cols>
  <sheetData>
    <row r="2" spans="2:8" ht="15.75" x14ac:dyDescent="0.25">
      <c r="G2" s="160" t="s">
        <v>21</v>
      </c>
    </row>
    <row r="3" spans="2:8" x14ac:dyDescent="0.25">
      <c r="G3" s="161" t="s">
        <v>22</v>
      </c>
    </row>
    <row r="4" spans="2:8" ht="15.75" x14ac:dyDescent="0.25">
      <c r="G4" s="160" t="s">
        <v>23</v>
      </c>
    </row>
    <row r="5" spans="2:8" ht="15.75" x14ac:dyDescent="0.25">
      <c r="G5" s="160" t="s">
        <v>24</v>
      </c>
    </row>
    <row r="6" spans="2:8" ht="15.75" thickBot="1" x14ac:dyDescent="0.3"/>
    <row r="7" spans="2:8" ht="16.5" thickBot="1" x14ac:dyDescent="0.3">
      <c r="B7" s="792" t="s">
        <v>0</v>
      </c>
      <c r="C7" s="793"/>
    </row>
    <row r="8" spans="2:8" ht="16.5" thickBot="1" x14ac:dyDescent="0.3">
      <c r="B8" s="162"/>
    </row>
    <row r="9" spans="2:8" ht="16.5" thickBot="1" x14ac:dyDescent="0.3">
      <c r="B9" s="792" t="s">
        <v>1</v>
      </c>
      <c r="C9" s="793"/>
    </row>
    <row r="10" spans="2:8" ht="15.75" x14ac:dyDescent="0.25">
      <c r="B10" s="162"/>
    </row>
    <row r="11" spans="2:8" ht="38.25" customHeight="1" x14ac:dyDescent="0.25">
      <c r="B11" s="809" t="s">
        <v>2</v>
      </c>
      <c r="C11" s="809"/>
      <c r="D11" s="809"/>
      <c r="G11" s="738" t="s">
        <v>809</v>
      </c>
      <c r="H11" s="775">
        <v>44557</v>
      </c>
    </row>
    <row r="12" spans="2:8" ht="16.5" thickBot="1" x14ac:dyDescent="0.3">
      <c r="B12" s="162"/>
    </row>
    <row r="13" spans="2:8" ht="52.5" customHeight="1" thickBot="1" x14ac:dyDescent="0.3">
      <c r="B13" s="810" t="s">
        <v>3</v>
      </c>
      <c r="C13" s="811"/>
      <c r="D13" s="812"/>
      <c r="G13" s="449" t="s">
        <v>810</v>
      </c>
      <c r="H13" s="751"/>
    </row>
    <row r="14" spans="2:8" ht="39" customHeight="1" thickBot="1" x14ac:dyDescent="0.3">
      <c r="B14" s="780" t="s">
        <v>119</v>
      </c>
      <c r="C14" s="781" t="s">
        <v>118</v>
      </c>
      <c r="D14" s="787" t="s">
        <v>843</v>
      </c>
    </row>
    <row r="15" spans="2:8" ht="16.5" thickBot="1" x14ac:dyDescent="0.3">
      <c r="B15" s="782"/>
      <c r="C15" s="783"/>
      <c r="D15" s="783"/>
    </row>
    <row r="16" spans="2:8" ht="25.5" customHeight="1" thickBot="1" x14ac:dyDescent="0.3">
      <c r="B16" s="784" t="s">
        <v>4</v>
      </c>
      <c r="C16" s="796" t="s">
        <v>5</v>
      </c>
      <c r="D16" s="797"/>
      <c r="E16" s="164"/>
      <c r="F16" s="792" t="s">
        <v>6</v>
      </c>
      <c r="G16" s="793"/>
    </row>
    <row r="17" spans="2:7" ht="14.25" customHeight="1" x14ac:dyDescent="0.25">
      <c r="B17" s="803" t="s">
        <v>7</v>
      </c>
      <c r="C17" s="805" t="s">
        <v>8</v>
      </c>
      <c r="D17" s="806"/>
      <c r="E17" s="801"/>
      <c r="F17" s="801"/>
      <c r="G17" s="801"/>
    </row>
    <row r="18" spans="2:7" ht="14.25" customHeight="1" x14ac:dyDescent="0.25">
      <c r="B18" s="804"/>
      <c r="C18" s="807"/>
      <c r="D18" s="808"/>
      <c r="E18" s="802" t="s">
        <v>9</v>
      </c>
      <c r="F18" s="802"/>
      <c r="G18" s="802"/>
    </row>
    <row r="19" spans="2:7" ht="24.75" customHeight="1" thickBot="1" x14ac:dyDescent="0.3">
      <c r="B19" s="804"/>
      <c r="C19" s="807"/>
      <c r="D19" s="808"/>
      <c r="E19" s="800" t="s">
        <v>10</v>
      </c>
      <c r="F19" s="800"/>
      <c r="G19" s="800"/>
    </row>
    <row r="20" spans="2:7" ht="69" customHeight="1" thickBot="1" x14ac:dyDescent="0.3">
      <c r="B20" s="785" t="s">
        <v>12</v>
      </c>
      <c r="C20" s="796" t="s">
        <v>13</v>
      </c>
      <c r="D20" s="797"/>
      <c r="E20" s="800" t="s">
        <v>11</v>
      </c>
      <c r="F20" s="800"/>
      <c r="G20" s="800"/>
    </row>
    <row r="21" spans="2:7" ht="16.5" thickBot="1" x14ac:dyDescent="0.3">
      <c r="B21" s="163"/>
    </row>
    <row r="22" spans="2:7" ht="16.5" thickBot="1" x14ac:dyDescent="0.3">
      <c r="B22" s="165" t="s">
        <v>14</v>
      </c>
      <c r="C22" s="798" t="s">
        <v>448</v>
      </c>
      <c r="D22" s="798"/>
      <c r="E22" s="798"/>
      <c r="F22" s="798"/>
      <c r="G22" s="799"/>
    </row>
    <row r="23" spans="2:7" ht="16.5" thickBot="1" x14ac:dyDescent="0.3">
      <c r="B23" s="794" t="s">
        <v>15</v>
      </c>
      <c r="C23" s="795"/>
      <c r="D23" s="795"/>
      <c r="E23" s="795"/>
      <c r="F23" s="795"/>
      <c r="G23" s="795"/>
    </row>
    <row r="24" spans="2:7" ht="83.25" customHeight="1" thickBot="1" x14ac:dyDescent="0.3">
      <c r="B24" s="166" t="s">
        <v>16</v>
      </c>
      <c r="C24" s="167" t="s">
        <v>17</v>
      </c>
      <c r="D24" s="168" t="s">
        <v>20</v>
      </c>
      <c r="E24" s="167" t="s">
        <v>18</v>
      </c>
      <c r="F24" s="792" t="s">
        <v>19</v>
      </c>
      <c r="G24" s="793"/>
    </row>
    <row r="25" spans="2:7" ht="16.5" thickBot="1" x14ac:dyDescent="0.3">
      <c r="B25" s="169">
        <v>1</v>
      </c>
      <c r="C25" s="169">
        <v>2</v>
      </c>
      <c r="D25" s="169">
        <v>3</v>
      </c>
      <c r="E25" s="169">
        <v>4</v>
      </c>
      <c r="F25" s="792">
        <v>5</v>
      </c>
      <c r="G25" s="793"/>
    </row>
    <row r="26" spans="2:7" s="173" customFormat="1" ht="16.5" thickBot="1" x14ac:dyDescent="0.3">
      <c r="B26" s="170" t="s">
        <v>27</v>
      </c>
      <c r="C26" s="171" t="s">
        <v>25</v>
      </c>
      <c r="D26" s="172"/>
      <c r="E26" s="171" t="s">
        <v>26</v>
      </c>
      <c r="F26" s="790">
        <v>2300229</v>
      </c>
      <c r="G26" s="791"/>
    </row>
    <row r="28" spans="2:7" ht="37.5" x14ac:dyDescent="0.3">
      <c r="B28" s="174" t="s">
        <v>321</v>
      </c>
      <c r="C28" s="175"/>
      <c r="D28" s="175"/>
      <c r="E28" s="175"/>
      <c r="F28" s="175"/>
    </row>
    <row r="29" spans="2:7" ht="18.75" x14ac:dyDescent="0.3">
      <c r="B29" s="773" t="s">
        <v>838</v>
      </c>
      <c r="C29" s="176" t="s">
        <v>322</v>
      </c>
      <c r="D29" s="177"/>
      <c r="E29" s="177"/>
      <c r="F29" s="177"/>
    </row>
    <row r="30" spans="2:7" ht="18.75" x14ac:dyDescent="0.3">
      <c r="B30" s="773" t="s">
        <v>839</v>
      </c>
      <c r="C30" s="176" t="s">
        <v>323</v>
      </c>
      <c r="D30" s="178"/>
      <c r="E30" s="178"/>
      <c r="F30" s="179"/>
    </row>
    <row r="31" spans="2:7" ht="18.75" x14ac:dyDescent="0.3">
      <c r="B31" s="773" t="s">
        <v>840</v>
      </c>
      <c r="C31" s="176" t="s">
        <v>324</v>
      </c>
      <c r="D31" s="178"/>
      <c r="E31" s="178"/>
      <c r="F31" s="179"/>
    </row>
    <row r="32" spans="2:7" ht="18.75" x14ac:dyDescent="0.3">
      <c r="B32" s="773" t="s">
        <v>841</v>
      </c>
      <c r="C32" s="176" t="s">
        <v>325</v>
      </c>
      <c r="D32" s="178"/>
      <c r="E32" s="178"/>
      <c r="F32" s="179"/>
    </row>
    <row r="33" spans="2:6" ht="18.75" x14ac:dyDescent="0.3">
      <c r="B33" s="773" t="s">
        <v>842</v>
      </c>
      <c r="C33" s="176" t="s">
        <v>326</v>
      </c>
      <c r="D33" s="178"/>
      <c r="E33" s="178"/>
      <c r="F33" s="179" t="s">
        <v>327</v>
      </c>
    </row>
  </sheetData>
  <sheetProtection password="DB70" sheet="1" objects="1" scenarios="1" sort="0" autoFilter="0"/>
  <protectedRanges>
    <protectedRange sqref="C26 E26" name="c3_1"/>
    <protectedRange sqref="B26" name="c3_3"/>
  </protectedRanges>
  <mergeCells count="18">
    <mergeCell ref="E17:G17"/>
    <mergeCell ref="E18:G18"/>
    <mergeCell ref="E19:G19"/>
    <mergeCell ref="B7:C7"/>
    <mergeCell ref="B9:C9"/>
    <mergeCell ref="B17:B19"/>
    <mergeCell ref="C17:D19"/>
    <mergeCell ref="B11:D11"/>
    <mergeCell ref="B13:D13"/>
    <mergeCell ref="C16:D16"/>
    <mergeCell ref="F16:G16"/>
    <mergeCell ref="F26:G26"/>
    <mergeCell ref="F25:G25"/>
    <mergeCell ref="F24:G24"/>
    <mergeCell ref="B23:G23"/>
    <mergeCell ref="C20:D20"/>
    <mergeCell ref="C22:G22"/>
    <mergeCell ref="E20:G20"/>
  </mergeCells>
  <conditionalFormatting sqref="B29:B33">
    <cfRule type="cellIs" dxfId="142" priority="3" stopIfTrue="1" operator="notEqual">
      <formula>0</formula>
    </cfRule>
  </conditionalFormatting>
  <conditionalFormatting sqref="B29:B33">
    <cfRule type="cellIs" dxfId="141" priority="4" stopIfTrue="1" operator="notEqual">
      <formula>0</formula>
    </cfRule>
  </conditionalFormatting>
  <dataValidations count="1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22:G22">
      <formula1>Названия_организаций</formula1>
    </dataValidation>
  </dataValidations>
  <hyperlinks>
    <hyperlink ref="E18" location="sub_0" display="sub_0"/>
    <hyperlink ref="C24" r:id="rId1" display="http://ivo.garant.ru/document/redirect/70650726/0"/>
    <hyperlink ref="E24" r:id="rId2" display="http://ivo.garant.ru/document/redirect/179064/0"/>
    <hyperlink ref="G3" location="sub_0" display="sub_0"/>
  </hyperlinks>
  <pageMargins left="0.7" right="0.7" top="0.75" bottom="0.75" header="0.3" footer="0.3"/>
  <pageSetup paperSize="9" scale="64" orientation="landscape" horizontalDpi="4294967295" verticalDpi="4294967295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6" tint="0.39997558519241921"/>
    <pageSetUpPr fitToPage="1"/>
  </sheetPr>
  <dimension ref="A1:J38"/>
  <sheetViews>
    <sheetView zoomScale="70" zoomScaleNormal="70" zoomScaleSheetLayoutView="84" workbookViewId="0">
      <selection activeCell="C30" sqref="C30"/>
    </sheetView>
  </sheetViews>
  <sheetFormatPr defaultColWidth="9.140625" defaultRowHeight="18.75" x14ac:dyDescent="0.3"/>
  <cols>
    <col min="1" max="1" width="6.5703125" style="125" customWidth="1"/>
    <col min="2" max="2" width="105.7109375" style="125" customWidth="1"/>
    <col min="3" max="3" width="11" style="125" customWidth="1"/>
    <col min="4" max="6" width="13.42578125" style="125" customWidth="1"/>
    <col min="7" max="7" width="72.28515625" style="125" customWidth="1"/>
    <col min="8" max="16384" width="9.140625" style="125"/>
  </cols>
  <sheetData>
    <row r="1" spans="1:7" s="6" customFormat="1" x14ac:dyDescent="0.3">
      <c r="A1" s="158" t="b">
        <f>AND('Титульный лист'!$D$14&lt;&gt;"",'Титульный лист'!$C$22&lt;&gt;"",'Титульный лист'!$B$29&lt;&gt;"",'Титульный лист'!$B$30&lt;&gt;"",'Титульный лист'!$B$31&lt;&gt;"",'Титульный лист'!$B$32&lt;&gt;"",'Титульный лист'!$B$33&lt;&gt;"")</f>
        <v>1</v>
      </c>
      <c r="B1"/>
      <c r="C1"/>
      <c r="D1"/>
      <c r="E1"/>
      <c r="F1"/>
    </row>
    <row r="2" spans="1:7" s="6" customFormat="1" ht="24.75" customHeight="1" x14ac:dyDescent="0.3">
      <c r="B2" s="871" t="s">
        <v>278</v>
      </c>
      <c r="C2" s="871"/>
      <c r="D2" s="871"/>
      <c r="E2" s="871"/>
      <c r="F2" s="871"/>
    </row>
    <row r="3" spans="1:7" s="6" customFormat="1" x14ac:dyDescent="0.3">
      <c r="B3" s="24" t="s">
        <v>297</v>
      </c>
      <c r="D3" s="6" t="s">
        <v>318</v>
      </c>
    </row>
    <row r="4" spans="1:7" s="6" customFormat="1" ht="31.5" customHeight="1" x14ac:dyDescent="0.3">
      <c r="B4" s="881" t="s">
        <v>279</v>
      </c>
      <c r="C4" s="881" t="s">
        <v>298</v>
      </c>
      <c r="D4" s="881" t="s">
        <v>280</v>
      </c>
      <c r="E4" s="881"/>
      <c r="F4" s="881"/>
    </row>
    <row r="5" spans="1:7" s="6" customFormat="1" x14ac:dyDescent="0.3">
      <c r="B5" s="881"/>
      <c r="C5" s="881"/>
      <c r="D5" s="881" t="s">
        <v>45</v>
      </c>
      <c r="E5" s="881" t="s">
        <v>32</v>
      </c>
      <c r="F5" s="881"/>
    </row>
    <row r="6" spans="1:7" s="6" customFormat="1" ht="93.75" x14ac:dyDescent="0.3">
      <c r="B6" s="881"/>
      <c r="C6" s="881"/>
      <c r="D6" s="881"/>
      <c r="E6" s="189" t="s">
        <v>174</v>
      </c>
      <c r="F6" s="189" t="s">
        <v>175</v>
      </c>
    </row>
    <row r="7" spans="1:7" s="124" customFormat="1" x14ac:dyDescent="0.3">
      <c r="B7" s="190">
        <v>1</v>
      </c>
      <c r="C7" s="190">
        <v>2</v>
      </c>
      <c r="D7" s="190">
        <v>3</v>
      </c>
      <c r="E7" s="190">
        <v>4</v>
      </c>
      <c r="F7" s="190">
        <v>5</v>
      </c>
    </row>
    <row r="8" spans="1:7" s="124" customFormat="1" x14ac:dyDescent="0.3">
      <c r="B8" s="191" t="s">
        <v>281</v>
      </c>
      <c r="C8" s="190">
        <v>1</v>
      </c>
      <c r="D8" s="192">
        <f>SUM(E8:F8)</f>
        <v>252</v>
      </c>
      <c r="E8" s="192">
        <f>'ДВН и профосмотр_общая '!$AW$11</f>
        <v>245</v>
      </c>
      <c r="F8" s="192">
        <f>'ДВН и профосмотр_общая '!$BC$11</f>
        <v>7</v>
      </c>
    </row>
    <row r="9" spans="1:7" s="124" customFormat="1" x14ac:dyDescent="0.3">
      <c r="B9" s="191" t="s">
        <v>282</v>
      </c>
      <c r="C9" s="190">
        <v>2</v>
      </c>
      <c r="D9" s="192">
        <f>SUM(E9:F9)</f>
        <v>201</v>
      </c>
      <c r="E9" s="192">
        <f>'ДВН и профосмотр_общая '!$AX$11</f>
        <v>179</v>
      </c>
      <c r="F9" s="192">
        <f>'ДВН и профосмотр_общая '!$BD$11</f>
        <v>22</v>
      </c>
    </row>
    <row r="10" spans="1:7" s="124" customFormat="1" x14ac:dyDescent="0.3">
      <c r="B10" s="191" t="s">
        <v>283</v>
      </c>
      <c r="C10" s="190">
        <v>3</v>
      </c>
      <c r="D10" s="192">
        <f>SUM(E10:F10)</f>
        <v>857</v>
      </c>
      <c r="E10" s="192">
        <f>'ДВН и профосмотр_общая '!$AZ$11</f>
        <v>419</v>
      </c>
      <c r="F10" s="192">
        <f>'ДВН и профосмотр_общая '!$BF$11</f>
        <v>438</v>
      </c>
      <c r="G10" s="187" t="str">
        <f>IF(SUM(E8:E11)=SUM('1000, 1001'!G21+'1000, 1001'!G25),"ОК","гр.4 сумма строк с 1 по 4 НЕ РАВНА  табл.1001 стр.1+стр.4")</f>
        <v>ОК</v>
      </c>
    </row>
    <row r="11" spans="1:7" s="124" customFormat="1" x14ac:dyDescent="0.3">
      <c r="B11" s="191" t="s">
        <v>284</v>
      </c>
      <c r="C11" s="190">
        <v>4</v>
      </c>
      <c r="D11" s="192">
        <f>SUM(E11:F11)</f>
        <v>18</v>
      </c>
      <c r="E11" s="192">
        <f>'ДВН и профосмотр_общая '!$BA$11</f>
        <v>14</v>
      </c>
      <c r="F11" s="192">
        <f>'ДВН и профосмотр_общая '!$BG$11</f>
        <v>4</v>
      </c>
      <c r="G11" s="187" t="str">
        <f>IF(SUM(D8:D11)=SUM('1000, 1001'!F17:G17),"ОК","гр.3 сумма строк с 1 по 4 НЕ РАВНА  табл.1000 стр.8 гр.5 + стр.8 гр.6")</f>
        <v>ОК</v>
      </c>
    </row>
    <row r="12" spans="1:7" s="124" customFormat="1" ht="56.25" x14ac:dyDescent="0.3">
      <c r="B12" s="191" t="s">
        <v>285</v>
      </c>
      <c r="C12" s="190">
        <v>5</v>
      </c>
      <c r="D12" s="192">
        <f>SUM(E12:F12)</f>
        <v>459</v>
      </c>
      <c r="E12" s="789">
        <v>154</v>
      </c>
      <c r="F12" s="789">
        <v>305</v>
      </c>
    </row>
    <row r="13" spans="1:7" s="124" customFormat="1" x14ac:dyDescent="0.3">
      <c r="B13" s="191" t="s">
        <v>286</v>
      </c>
      <c r="C13" s="190">
        <v>6</v>
      </c>
      <c r="D13" s="192">
        <f>'5000 и 5001 свод'!J78</f>
        <v>17</v>
      </c>
      <c r="E13" s="192">
        <f>'5000 и 5001 свод'!L78</f>
        <v>13</v>
      </c>
      <c r="F13" s="192">
        <f>'5000 и 5001 свод'!N78</f>
        <v>4</v>
      </c>
    </row>
    <row r="14" spans="1:7" s="124" customFormat="1" ht="37.5" x14ac:dyDescent="0.3">
      <c r="B14" s="191" t="s">
        <v>287</v>
      </c>
      <c r="C14" s="190" t="s">
        <v>293</v>
      </c>
      <c r="D14" s="192">
        <f t="shared" ref="D14:D19" si="0">SUM(E14:F14)</f>
        <v>0</v>
      </c>
      <c r="E14" s="789"/>
      <c r="F14" s="789"/>
      <c r="G14" s="187" t="str">
        <f>IF(SUM(E14:E17)=E13,IF(SUM(F14:F17)=F13,"ОК","сумма строк 6.1+6.2+6.3+6.4 НЕ РАВНА 6 строке по графе 5"),"сумма строк 6.1+6.2+6.3+6.4 НЕ РАВНА 6 строке по графе 4")</f>
        <v>ОК</v>
      </c>
    </row>
    <row r="15" spans="1:7" s="124" customFormat="1" x14ac:dyDescent="0.3">
      <c r="B15" s="191" t="s">
        <v>288</v>
      </c>
      <c r="C15" s="190" t="s">
        <v>294</v>
      </c>
      <c r="D15" s="192">
        <f t="shared" si="0"/>
        <v>17</v>
      </c>
      <c r="E15" s="789">
        <v>13</v>
      </c>
      <c r="F15" s="789">
        <v>4</v>
      </c>
    </row>
    <row r="16" spans="1:7" s="124" customFormat="1" x14ac:dyDescent="0.3">
      <c r="B16" s="191" t="s">
        <v>289</v>
      </c>
      <c r="C16" s="190" t="s">
        <v>295</v>
      </c>
      <c r="D16" s="192">
        <f t="shared" si="0"/>
        <v>0</v>
      </c>
      <c r="E16" s="789"/>
      <c r="F16" s="789"/>
    </row>
    <row r="17" spans="2:8" s="124" customFormat="1" x14ac:dyDescent="0.3">
      <c r="B17" s="191" t="s">
        <v>290</v>
      </c>
      <c r="C17" s="190" t="s">
        <v>296</v>
      </c>
      <c r="D17" s="192">
        <f t="shared" si="0"/>
        <v>0</v>
      </c>
      <c r="E17" s="789"/>
      <c r="F17" s="789"/>
    </row>
    <row r="18" spans="2:8" s="124" customFormat="1" ht="37.5" x14ac:dyDescent="0.3">
      <c r="B18" s="191" t="s">
        <v>291</v>
      </c>
      <c r="C18" s="190">
        <v>7</v>
      </c>
      <c r="D18" s="192">
        <f t="shared" si="0"/>
        <v>0</v>
      </c>
      <c r="E18" s="789"/>
      <c r="F18" s="789"/>
    </row>
    <row r="19" spans="2:8" s="124" customFormat="1" x14ac:dyDescent="0.3">
      <c r="B19" s="191" t="s">
        <v>292</v>
      </c>
      <c r="C19" s="190">
        <v>8</v>
      </c>
      <c r="D19" s="192">
        <f t="shared" si="0"/>
        <v>0</v>
      </c>
      <c r="E19" s="789"/>
      <c r="F19" s="789"/>
    </row>
    <row r="20" spans="2:8" s="6" customFormat="1" x14ac:dyDescent="0.3"/>
    <row r="21" spans="2:8" x14ac:dyDescent="0.3">
      <c r="B21" s="24"/>
    </row>
    <row r="22" spans="2:8" ht="38.25" customHeight="1" x14ac:dyDescent="0.3">
      <c r="B22" s="194" t="s">
        <v>301</v>
      </c>
      <c r="C22" s="192">
        <f>SUM(E8:E11)</f>
        <v>857</v>
      </c>
      <c r="D22" s="195" t="s">
        <v>299</v>
      </c>
      <c r="E22" s="879" t="str">
        <f>IF(SUM(C22:C24)=SUM('1000, 1001'!F17:G17),"ОК","Сумма строк 6001+6002+6003 НЕ РАВНА в табл.1000 сумме граф 5+6 по строке 8")</f>
        <v>ОК</v>
      </c>
      <c r="F22" s="879"/>
      <c r="G22" s="879"/>
      <c r="H22" s="879"/>
    </row>
    <row r="23" spans="2:8" ht="37.5" x14ac:dyDescent="0.3">
      <c r="B23" s="194" t="s">
        <v>300</v>
      </c>
      <c r="C23" s="192">
        <f>SUM(F8:F11)-C24</f>
        <v>470</v>
      </c>
      <c r="D23" s="195" t="s">
        <v>299</v>
      </c>
      <c r="E23" s="879"/>
      <c r="F23" s="879"/>
      <c r="G23" s="879"/>
      <c r="H23" s="879"/>
    </row>
    <row r="24" spans="2:8" ht="37.5" x14ac:dyDescent="0.3">
      <c r="B24" s="194" t="s">
        <v>307</v>
      </c>
      <c r="C24" s="193">
        <v>1</v>
      </c>
      <c r="D24" s="195" t="s">
        <v>299</v>
      </c>
    </row>
    <row r="25" spans="2:8" ht="56.25" x14ac:dyDescent="0.3">
      <c r="B25" s="194" t="s">
        <v>304</v>
      </c>
      <c r="C25" s="192">
        <f>'ДВН и профосмотр_общая '!O11+'ДВН и профосмотр_общая '!P11</f>
        <v>25</v>
      </c>
      <c r="D25" s="195" t="s">
        <v>299</v>
      </c>
    </row>
    <row r="26" spans="2:8" ht="56.25" x14ac:dyDescent="0.3">
      <c r="B26" s="194" t="s">
        <v>303</v>
      </c>
      <c r="C26" s="193"/>
      <c r="D26" s="195" t="s">
        <v>299</v>
      </c>
    </row>
    <row r="27" spans="2:8" ht="37.5" x14ac:dyDescent="0.3">
      <c r="B27" s="740" t="s">
        <v>834</v>
      </c>
      <c r="C27" s="193">
        <v>1</v>
      </c>
      <c r="D27" s="195" t="s">
        <v>302</v>
      </c>
      <c r="E27" s="879" t="str">
        <f>IF(C28=0,IF(C27="","ОК","если нет значений в таблице 6007, в таблице 6006  тоже не должно быть значений"),"ОК")</f>
        <v>ОК</v>
      </c>
      <c r="F27" s="880"/>
      <c r="G27" s="880"/>
    </row>
    <row r="28" spans="2:8" ht="37.5" x14ac:dyDescent="0.3">
      <c r="B28" s="741" t="s">
        <v>835</v>
      </c>
      <c r="C28" s="750">
        <f>'ДВН и профосмотр_общая '!$Q$11+'ДВН и профосмотр_общая '!$AG$11</f>
        <v>151</v>
      </c>
      <c r="D28" s="195" t="s">
        <v>299</v>
      </c>
      <c r="E28" s="879" t="str">
        <f>IF(C28&lt;&gt;0,IF(C27&lt;&gt;"","ОК","если заполнена таблица 6007, должна быть заполнена набл.6006"),"ОК")</f>
        <v>ОК</v>
      </c>
      <c r="F28" s="880"/>
      <c r="G28" s="880"/>
    </row>
    <row r="29" spans="2:8" ht="37.5" x14ac:dyDescent="0.3">
      <c r="B29" s="194" t="s">
        <v>305</v>
      </c>
      <c r="C29" s="193">
        <v>79</v>
      </c>
      <c r="D29" s="195" t="s">
        <v>299</v>
      </c>
    </row>
    <row r="30" spans="2:8" ht="37.5" x14ac:dyDescent="0.3">
      <c r="B30" s="194" t="s">
        <v>306</v>
      </c>
      <c r="C30" s="193"/>
      <c r="D30" s="195" t="s">
        <v>299</v>
      </c>
    </row>
    <row r="31" spans="2:8" ht="37.5" x14ac:dyDescent="0.3">
      <c r="B31" s="194" t="s">
        <v>308</v>
      </c>
      <c r="C31" s="750">
        <f>'ДВН и профосмотр_общая '!$H$11+'ДВН и профосмотр_общая '!$AH$11</f>
        <v>1328</v>
      </c>
      <c r="D31" s="195" t="s">
        <v>299</v>
      </c>
    </row>
    <row r="33" spans="7:10" ht="29.25" customHeight="1" x14ac:dyDescent="0.3">
      <c r="J33" s="126"/>
    </row>
    <row r="34" spans="7:10" x14ac:dyDescent="0.3">
      <c r="G34" s="127"/>
      <c r="H34" s="127"/>
      <c r="I34" s="127"/>
      <c r="J34" s="127"/>
    </row>
    <row r="35" spans="7:10" x14ac:dyDescent="0.3">
      <c r="G35" s="129"/>
      <c r="H35" s="128"/>
      <c r="I35" s="128"/>
      <c r="J35" s="128"/>
    </row>
    <row r="36" spans="7:10" x14ac:dyDescent="0.3">
      <c r="G36" s="130"/>
      <c r="H36" s="131"/>
      <c r="I36" s="131"/>
      <c r="J36" s="132"/>
    </row>
    <row r="37" spans="7:10" x14ac:dyDescent="0.3">
      <c r="G37" s="129"/>
      <c r="H37" s="128"/>
      <c r="I37" s="128"/>
      <c r="J37" s="128"/>
    </row>
    <row r="38" spans="7:10" x14ac:dyDescent="0.3">
      <c r="G38" s="129"/>
      <c r="H38" s="128"/>
      <c r="I38" s="128"/>
      <c r="J38" s="128"/>
    </row>
  </sheetData>
  <sheetProtection password="DB70" sheet="1" objects="1" scenarios="1" selectLockedCells="1" autoFilter="0"/>
  <protectedRanges>
    <protectedRange sqref="C22:C31" name="t70002"/>
  </protectedRanges>
  <mergeCells count="9">
    <mergeCell ref="E28:G28"/>
    <mergeCell ref="B2:F2"/>
    <mergeCell ref="C4:C6"/>
    <mergeCell ref="E22:H23"/>
    <mergeCell ref="B4:B6"/>
    <mergeCell ref="D4:F4"/>
    <mergeCell ref="D5:D6"/>
    <mergeCell ref="E5:F5"/>
    <mergeCell ref="E27:G27"/>
  </mergeCells>
  <conditionalFormatting sqref="E22:H23">
    <cfRule type="expression" dxfId="80" priority="8" stopIfTrue="1">
      <formula>E22&lt;&gt;"ОК"</formula>
    </cfRule>
  </conditionalFormatting>
  <conditionalFormatting sqref="E28">
    <cfRule type="expression" dxfId="79" priority="7" stopIfTrue="1">
      <formula>E28&lt;&gt;"ОК"</formula>
    </cfRule>
  </conditionalFormatting>
  <conditionalFormatting sqref="G10">
    <cfRule type="expression" dxfId="78" priority="6" stopIfTrue="1">
      <formula>G10&lt;&gt;"ОК"</formula>
    </cfRule>
  </conditionalFormatting>
  <conditionalFormatting sqref="G11">
    <cfRule type="expression" dxfId="77" priority="5" stopIfTrue="1">
      <formula>G11&lt;&gt;"ОК"</formula>
    </cfRule>
  </conditionalFormatting>
  <conditionalFormatting sqref="G14">
    <cfRule type="expression" dxfId="76" priority="4" stopIfTrue="1">
      <formula>G14&lt;&gt;"ОК"</formula>
    </cfRule>
  </conditionalFormatting>
  <conditionalFormatting sqref="E27">
    <cfRule type="expression" dxfId="75" priority="3" stopIfTrue="1">
      <formula>E27&lt;&gt;"ОК"</formula>
    </cfRule>
  </conditionalFormatting>
  <dataValidations count="1"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E12:F12 C26:C27 C29:C30 E14:F19 C24">
      <formula1>AND($A$1=TRUE,ISNUMBER(C12),C12&gt;=0,IF(ISERROR(SEARCH(",?",C12)),0,1)=0)</formula1>
    </dataValidation>
  </dataValidations>
  <hyperlinks>
    <hyperlink ref="D3" r:id="rId1" display="http://ivo.garant.ru/document/redirect/179222/792"/>
  </hyperlinks>
  <pageMargins left="0.7" right="0.7" top="0.75" bottom="0.75" header="0.3" footer="0.3"/>
  <pageSetup paperSize="9" scale="44" orientation="landscape" horizontalDpi="4294967295" verticalDpi="4294967295" r:id="rId2"/>
  <rowBreaks count="1" manualBreakCount="1">
    <brk id="20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E1FF"/>
    <pageSetUpPr fitToPage="1"/>
  </sheetPr>
  <dimension ref="A1:N55"/>
  <sheetViews>
    <sheetView workbookViewId="0">
      <selection activeCell="H9" sqref="H9"/>
    </sheetView>
  </sheetViews>
  <sheetFormatPr defaultColWidth="9.140625" defaultRowHeight="15.75" x14ac:dyDescent="0.25"/>
  <cols>
    <col min="1" max="1" width="9.140625" style="5"/>
    <col min="2" max="2" width="58" style="5" customWidth="1"/>
    <col min="3" max="3" width="9.140625" style="5"/>
    <col min="4" max="4" width="12.42578125" style="5" customWidth="1"/>
    <col min="5" max="14" width="10.28515625" style="5" customWidth="1"/>
    <col min="15" max="16384" width="9.140625" style="5"/>
  </cols>
  <sheetData>
    <row r="1" spans="1:14" x14ac:dyDescent="0.25">
      <c r="A1" s="883"/>
      <c r="B1" s="883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</row>
    <row r="2" spans="1:14" ht="48" customHeight="1" x14ac:dyDescent="0.25">
      <c r="B2" s="871" t="s">
        <v>166</v>
      </c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</row>
    <row r="3" spans="1:14" ht="16.5" thickBot="1" x14ac:dyDescent="0.3">
      <c r="B3" s="21" t="s">
        <v>167</v>
      </c>
      <c r="K3" s="5" t="s">
        <v>319</v>
      </c>
    </row>
    <row r="4" spans="1:14" ht="32.25" customHeight="1" thickBot="1" x14ac:dyDescent="0.3">
      <c r="B4" s="872" t="s">
        <v>168</v>
      </c>
      <c r="C4" s="872" t="s">
        <v>159</v>
      </c>
      <c r="D4" s="875" t="s">
        <v>169</v>
      </c>
      <c r="E4" s="867" t="s">
        <v>170</v>
      </c>
      <c r="F4" s="878"/>
      <c r="G4" s="878"/>
      <c r="H4" s="868"/>
      <c r="I4" s="867" t="s">
        <v>171</v>
      </c>
      <c r="J4" s="878"/>
      <c r="K4" s="878"/>
      <c r="L4" s="878"/>
      <c r="M4" s="878"/>
      <c r="N4" s="868"/>
    </row>
    <row r="5" spans="1:14" ht="47.25" customHeight="1" thickBot="1" x14ac:dyDescent="0.3">
      <c r="B5" s="873"/>
      <c r="C5" s="873"/>
      <c r="D5" s="876"/>
      <c r="E5" s="869" t="s">
        <v>172</v>
      </c>
      <c r="F5" s="870"/>
      <c r="G5" s="867" t="s">
        <v>32</v>
      </c>
      <c r="H5" s="868"/>
      <c r="I5" s="867" t="s">
        <v>172</v>
      </c>
      <c r="J5" s="868"/>
      <c r="K5" s="867" t="s">
        <v>126</v>
      </c>
      <c r="L5" s="868"/>
      <c r="M5" s="867" t="s">
        <v>127</v>
      </c>
      <c r="N5" s="868"/>
    </row>
    <row r="6" spans="1:14" ht="113.25" customHeight="1" thickBot="1" x14ac:dyDescent="0.3">
      <c r="B6" s="874"/>
      <c r="C6" s="874"/>
      <c r="D6" s="877"/>
      <c r="E6" s="148" t="s">
        <v>172</v>
      </c>
      <c r="F6" s="1" t="s">
        <v>173</v>
      </c>
      <c r="G6" s="148" t="s">
        <v>174</v>
      </c>
      <c r="H6" s="148" t="s">
        <v>175</v>
      </c>
      <c r="I6" s="148" t="s">
        <v>172</v>
      </c>
      <c r="J6" s="148" t="s">
        <v>173</v>
      </c>
      <c r="K6" s="148" t="s">
        <v>172</v>
      </c>
      <c r="L6" s="148" t="s">
        <v>173</v>
      </c>
      <c r="M6" s="148" t="s">
        <v>172</v>
      </c>
      <c r="N6" s="147" t="s">
        <v>173</v>
      </c>
    </row>
    <row r="7" spans="1:14" ht="16.5" thickBot="1" x14ac:dyDescent="0.3">
      <c r="B7" s="149">
        <v>1</v>
      </c>
      <c r="C7" s="149">
        <v>2</v>
      </c>
      <c r="D7" s="149">
        <v>3</v>
      </c>
      <c r="E7" s="148">
        <v>4</v>
      </c>
      <c r="F7" s="148">
        <v>5</v>
      </c>
      <c r="G7" s="148">
        <v>6</v>
      </c>
      <c r="H7" s="148">
        <v>7</v>
      </c>
      <c r="I7" s="148">
        <v>8</v>
      </c>
      <c r="J7" s="148">
        <v>9</v>
      </c>
      <c r="K7" s="148">
        <v>10</v>
      </c>
      <c r="L7" s="148">
        <v>11</v>
      </c>
      <c r="M7" s="148">
        <v>12</v>
      </c>
      <c r="N7" s="147">
        <v>13</v>
      </c>
    </row>
    <row r="8" spans="1:14" ht="16.5" thickBot="1" x14ac:dyDescent="0.3">
      <c r="B8" s="10" t="s">
        <v>176</v>
      </c>
      <c r="C8" s="14">
        <v>1</v>
      </c>
      <c r="D8" s="14" t="s">
        <v>177</v>
      </c>
      <c r="E8" s="29">
        <f>'5000 и 5001 свод'!E8</f>
        <v>1</v>
      </c>
      <c r="F8" s="29">
        <f>'5000 и 5001 свод'!F8</f>
        <v>1</v>
      </c>
      <c r="G8" s="29">
        <f>'5000 и 5001 свод'!G8</f>
        <v>1</v>
      </c>
      <c r="H8" s="29">
        <f>'5000 и 5001 свод'!H8</f>
        <v>0</v>
      </c>
      <c r="I8" s="29">
        <f>'5000 и 5001 свод'!I8</f>
        <v>0</v>
      </c>
      <c r="J8" s="29">
        <f>'5000 и 5001 свод'!J8</f>
        <v>0</v>
      </c>
      <c r="K8" s="29">
        <f>'5000 и 5001 свод'!K8</f>
        <v>0</v>
      </c>
      <c r="L8" s="29">
        <f>'5000 и 5001 свод'!L8</f>
        <v>0</v>
      </c>
      <c r="M8" s="29">
        <f>'5000 и 5001 свод'!M8</f>
        <v>0</v>
      </c>
      <c r="N8" s="30">
        <f>'5000 и 5001 свод'!N8</f>
        <v>0</v>
      </c>
    </row>
    <row r="9" spans="1:14" ht="16.5" thickBot="1" x14ac:dyDescent="0.3">
      <c r="B9" s="10" t="s">
        <v>178</v>
      </c>
      <c r="C9" s="14">
        <v>2</v>
      </c>
      <c r="D9" s="14" t="s">
        <v>179</v>
      </c>
      <c r="E9" s="29">
        <f>'5000 и 5001 свод'!E10</f>
        <v>13</v>
      </c>
      <c r="F9" s="29">
        <f>'5000 и 5001 свод'!F10</f>
        <v>13</v>
      </c>
      <c r="G9" s="29">
        <f>'5000 и 5001 свод'!G10</f>
        <v>6</v>
      </c>
      <c r="H9" s="29">
        <f>'5000 и 5001 свод'!H10</f>
        <v>7</v>
      </c>
      <c r="I9" s="29">
        <f>'5000 и 5001 свод'!I10</f>
        <v>0</v>
      </c>
      <c r="J9" s="29">
        <f>'5000 и 5001 свод'!J10</f>
        <v>0</v>
      </c>
      <c r="K9" s="29">
        <f>'5000 и 5001 свод'!K10</f>
        <v>0</v>
      </c>
      <c r="L9" s="29">
        <f>'5000 и 5001 свод'!L10</f>
        <v>0</v>
      </c>
      <c r="M9" s="29">
        <f>'5000 и 5001 свод'!M10</f>
        <v>0</v>
      </c>
      <c r="N9" s="30">
        <f>'5000 и 5001 свод'!N10</f>
        <v>0</v>
      </c>
    </row>
    <row r="10" spans="1:14" ht="16.5" thickBot="1" x14ac:dyDescent="0.3">
      <c r="B10" s="12" t="s">
        <v>180</v>
      </c>
      <c r="C10" s="7" t="s">
        <v>243</v>
      </c>
      <c r="D10" s="872" t="s">
        <v>181</v>
      </c>
      <c r="E10" s="31">
        <f>'5000 и 5001 свод'!E11</f>
        <v>0</v>
      </c>
      <c r="F10" s="31">
        <f>'5000 и 5001 свод'!F11</f>
        <v>0</v>
      </c>
      <c r="G10" s="31">
        <f>'5000 и 5001 свод'!G11</f>
        <v>0</v>
      </c>
      <c r="H10" s="31">
        <f>'5000 и 5001 свод'!H11</f>
        <v>0</v>
      </c>
      <c r="I10" s="31">
        <f>'5000 и 5001 свод'!I11</f>
        <v>0</v>
      </c>
      <c r="J10" s="31">
        <f>'5000 и 5001 свод'!J11</f>
        <v>0</v>
      </c>
      <c r="K10" s="31">
        <f>'5000 и 5001 свод'!K11</f>
        <v>0</v>
      </c>
      <c r="L10" s="31">
        <f>'5000 и 5001 свод'!L11</f>
        <v>0</v>
      </c>
      <c r="M10" s="31">
        <f>'5000 и 5001 свод'!M11</f>
        <v>0</v>
      </c>
      <c r="N10" s="32">
        <f>'5000 и 5001 свод'!N11</f>
        <v>0</v>
      </c>
    </row>
    <row r="11" spans="1:14" ht="16.5" thickBot="1" x14ac:dyDescent="0.3">
      <c r="B11" s="12" t="s">
        <v>182</v>
      </c>
      <c r="C11" s="7" t="s">
        <v>244</v>
      </c>
      <c r="D11" s="874"/>
      <c r="E11" s="31">
        <f>'5000 и 5001 свод'!E12</f>
        <v>0</v>
      </c>
      <c r="F11" s="31">
        <f>'5000 и 5001 свод'!F12</f>
        <v>0</v>
      </c>
      <c r="G11" s="31">
        <f>'5000 и 5001 свод'!G12</f>
        <v>0</v>
      </c>
      <c r="H11" s="31">
        <f>'5000 и 5001 свод'!H12</f>
        <v>0</v>
      </c>
      <c r="I11" s="31">
        <f>'5000 и 5001 свод'!I12</f>
        <v>0</v>
      </c>
      <c r="J11" s="31">
        <f>'5000 и 5001 свод'!J12</f>
        <v>0</v>
      </c>
      <c r="K11" s="31">
        <f>'5000 и 5001 свод'!K12</f>
        <v>0</v>
      </c>
      <c r="L11" s="31">
        <f>'5000 и 5001 свод'!L12</f>
        <v>0</v>
      </c>
      <c r="M11" s="31">
        <f>'5000 и 5001 свод'!M12</f>
        <v>0</v>
      </c>
      <c r="N11" s="32">
        <f>'5000 и 5001 свод'!N12</f>
        <v>0</v>
      </c>
    </row>
    <row r="12" spans="1:14" ht="16.5" thickBot="1" x14ac:dyDescent="0.3">
      <c r="B12" s="12" t="s">
        <v>183</v>
      </c>
      <c r="C12" s="7" t="s">
        <v>245</v>
      </c>
      <c r="D12" s="872" t="s">
        <v>184</v>
      </c>
      <c r="E12" s="31">
        <f>'5000 и 5001 свод'!E13</f>
        <v>0</v>
      </c>
      <c r="F12" s="31">
        <f>'5000 и 5001 свод'!F13</f>
        <v>0</v>
      </c>
      <c r="G12" s="31">
        <f>'5000 и 5001 свод'!G13</f>
        <v>0</v>
      </c>
      <c r="H12" s="31">
        <f>'5000 и 5001 свод'!H13</f>
        <v>0</v>
      </c>
      <c r="I12" s="31">
        <f>'5000 и 5001 свод'!I13</f>
        <v>0</v>
      </c>
      <c r="J12" s="31">
        <f>'5000 и 5001 свод'!J13</f>
        <v>0</v>
      </c>
      <c r="K12" s="31">
        <f>'5000 и 5001 свод'!K13</f>
        <v>0</v>
      </c>
      <c r="L12" s="31">
        <f>'5000 и 5001 свод'!L13</f>
        <v>0</v>
      </c>
      <c r="M12" s="31">
        <f>'5000 и 5001 свод'!M13</f>
        <v>0</v>
      </c>
      <c r="N12" s="32">
        <f>'5000 и 5001 свод'!N13</f>
        <v>0</v>
      </c>
    </row>
    <row r="13" spans="1:14" ht="16.5" thickBot="1" x14ac:dyDescent="0.3">
      <c r="B13" s="12" t="s">
        <v>182</v>
      </c>
      <c r="C13" s="7" t="s">
        <v>246</v>
      </c>
      <c r="D13" s="874"/>
      <c r="E13" s="31">
        <f>'5000 и 5001 свод'!E14</f>
        <v>0</v>
      </c>
      <c r="F13" s="31">
        <f>'5000 и 5001 свод'!F14</f>
        <v>0</v>
      </c>
      <c r="G13" s="31">
        <f>'5000 и 5001 свод'!G14</f>
        <v>0</v>
      </c>
      <c r="H13" s="31">
        <f>'5000 и 5001 свод'!H14</f>
        <v>0</v>
      </c>
      <c r="I13" s="31">
        <f>'5000 и 5001 свод'!I14</f>
        <v>0</v>
      </c>
      <c r="J13" s="31">
        <f>'5000 и 5001 свод'!J14</f>
        <v>0</v>
      </c>
      <c r="K13" s="31">
        <f>'5000 и 5001 свод'!K14</f>
        <v>0</v>
      </c>
      <c r="L13" s="31">
        <f>'5000 и 5001 свод'!L14</f>
        <v>0</v>
      </c>
      <c r="M13" s="31">
        <f>'5000 и 5001 свод'!M14</f>
        <v>0</v>
      </c>
      <c r="N13" s="32">
        <f>'5000 и 5001 свод'!N14</f>
        <v>0</v>
      </c>
    </row>
    <row r="14" spans="1:14" ht="16.5" thickBot="1" x14ac:dyDescent="0.3">
      <c r="B14" s="12" t="s">
        <v>185</v>
      </c>
      <c r="C14" s="7" t="s">
        <v>247</v>
      </c>
      <c r="D14" s="872" t="s">
        <v>186</v>
      </c>
      <c r="E14" s="31">
        <f>'5000 и 5001 свод'!E15</f>
        <v>0</v>
      </c>
      <c r="F14" s="31">
        <f>'5000 и 5001 свод'!F15</f>
        <v>0</v>
      </c>
      <c r="G14" s="31">
        <f>'5000 и 5001 свод'!G15</f>
        <v>0</v>
      </c>
      <c r="H14" s="31">
        <f>'5000 и 5001 свод'!H15</f>
        <v>0</v>
      </c>
      <c r="I14" s="31">
        <f>'5000 и 5001 свод'!I15</f>
        <v>0</v>
      </c>
      <c r="J14" s="31">
        <f>'5000 и 5001 свод'!J15</f>
        <v>0</v>
      </c>
      <c r="K14" s="31">
        <f>'5000 и 5001 свод'!K15</f>
        <v>0</v>
      </c>
      <c r="L14" s="31">
        <f>'5000 и 5001 свод'!L15</f>
        <v>0</v>
      </c>
      <c r="M14" s="31">
        <f>'5000 и 5001 свод'!M15</f>
        <v>0</v>
      </c>
      <c r="N14" s="32">
        <f>'5000 и 5001 свод'!N15</f>
        <v>0</v>
      </c>
    </row>
    <row r="15" spans="1:14" ht="16.5" thickBot="1" x14ac:dyDescent="0.3">
      <c r="B15" s="12" t="s">
        <v>182</v>
      </c>
      <c r="C15" s="7" t="s">
        <v>248</v>
      </c>
      <c r="D15" s="874"/>
      <c r="E15" s="31">
        <f>'5000 и 5001 свод'!E16</f>
        <v>0</v>
      </c>
      <c r="F15" s="31">
        <f>'5000 и 5001 свод'!F16</f>
        <v>0</v>
      </c>
      <c r="G15" s="31">
        <f>'5000 и 5001 свод'!G16</f>
        <v>0</v>
      </c>
      <c r="H15" s="31">
        <f>'5000 и 5001 свод'!H16</f>
        <v>0</v>
      </c>
      <c r="I15" s="31">
        <f>'5000 и 5001 свод'!I16</f>
        <v>0</v>
      </c>
      <c r="J15" s="31">
        <f>'5000 и 5001 свод'!J16</f>
        <v>0</v>
      </c>
      <c r="K15" s="31">
        <f>'5000 и 5001 свод'!K16</f>
        <v>0</v>
      </c>
      <c r="L15" s="31">
        <f>'5000 и 5001 свод'!L16</f>
        <v>0</v>
      </c>
      <c r="M15" s="31">
        <f>'5000 и 5001 свод'!M16</f>
        <v>0</v>
      </c>
      <c r="N15" s="32">
        <f>'5000 и 5001 свод'!N16</f>
        <v>0</v>
      </c>
    </row>
    <row r="16" spans="1:14" ht="16.5" thickBot="1" x14ac:dyDescent="0.3">
      <c r="B16" s="12" t="s">
        <v>187</v>
      </c>
      <c r="C16" s="7" t="s">
        <v>249</v>
      </c>
      <c r="D16" s="872" t="s">
        <v>188</v>
      </c>
      <c r="E16" s="31">
        <f>'5000 и 5001 свод'!E17</f>
        <v>0</v>
      </c>
      <c r="F16" s="31">
        <f>'5000 и 5001 свод'!F17</f>
        <v>0</v>
      </c>
      <c r="G16" s="31">
        <f>'5000 и 5001 свод'!G17</f>
        <v>0</v>
      </c>
      <c r="H16" s="31">
        <f>'5000 и 5001 свод'!H17</f>
        <v>0</v>
      </c>
      <c r="I16" s="31">
        <f>'5000 и 5001 свод'!I17</f>
        <v>0</v>
      </c>
      <c r="J16" s="31">
        <f>'5000 и 5001 свод'!J17</f>
        <v>0</v>
      </c>
      <c r="K16" s="31">
        <f>'5000 и 5001 свод'!K17</f>
        <v>0</v>
      </c>
      <c r="L16" s="31">
        <f>'5000 и 5001 свод'!L17</f>
        <v>0</v>
      </c>
      <c r="M16" s="31">
        <f>'5000 и 5001 свод'!M17</f>
        <v>0</v>
      </c>
      <c r="N16" s="32">
        <f>'5000 и 5001 свод'!N17</f>
        <v>0</v>
      </c>
    </row>
    <row r="17" spans="2:14" ht="16.5" thickBot="1" x14ac:dyDescent="0.3">
      <c r="B17" s="12" t="s">
        <v>182</v>
      </c>
      <c r="C17" s="7" t="s">
        <v>250</v>
      </c>
      <c r="D17" s="874"/>
      <c r="E17" s="31">
        <f>'5000 и 5001 свод'!E18</f>
        <v>0</v>
      </c>
      <c r="F17" s="31">
        <f>'5000 и 5001 свод'!F18</f>
        <v>0</v>
      </c>
      <c r="G17" s="31">
        <f>'5000 и 5001 свод'!G18</f>
        <v>0</v>
      </c>
      <c r="H17" s="31">
        <f>'5000 и 5001 свод'!H18</f>
        <v>0</v>
      </c>
      <c r="I17" s="31">
        <f>'5000 и 5001 свод'!I18</f>
        <v>0</v>
      </c>
      <c r="J17" s="31">
        <f>'5000 и 5001 свод'!J18</f>
        <v>0</v>
      </c>
      <c r="K17" s="31">
        <f>'5000 и 5001 свод'!K18</f>
        <v>0</v>
      </c>
      <c r="L17" s="31">
        <f>'5000 и 5001 свод'!L18</f>
        <v>0</v>
      </c>
      <c r="M17" s="31">
        <f>'5000 и 5001 свод'!M18</f>
        <v>0</v>
      </c>
      <c r="N17" s="32">
        <f>'5000 и 5001 свод'!N18</f>
        <v>0</v>
      </c>
    </row>
    <row r="18" spans="2:14" ht="16.5" thickBot="1" x14ac:dyDescent="0.3">
      <c r="B18" s="12" t="s">
        <v>189</v>
      </c>
      <c r="C18" s="7" t="s">
        <v>251</v>
      </c>
      <c r="D18" s="872" t="s">
        <v>190</v>
      </c>
      <c r="E18" s="31">
        <f>'5000 и 5001 свод'!E19</f>
        <v>0</v>
      </c>
      <c r="F18" s="31">
        <f>'5000 и 5001 свод'!F19</f>
        <v>0</v>
      </c>
      <c r="G18" s="31">
        <f>'5000 и 5001 свод'!G19</f>
        <v>0</v>
      </c>
      <c r="H18" s="31">
        <f>'5000 и 5001 свод'!H19</f>
        <v>0</v>
      </c>
      <c r="I18" s="31">
        <f>'5000 и 5001 свод'!I19</f>
        <v>0</v>
      </c>
      <c r="J18" s="31">
        <f>'5000 и 5001 свод'!J19</f>
        <v>0</v>
      </c>
      <c r="K18" s="31">
        <f>'5000 и 5001 свод'!K19</f>
        <v>0</v>
      </c>
      <c r="L18" s="31">
        <f>'5000 и 5001 свод'!L19</f>
        <v>0</v>
      </c>
      <c r="M18" s="31">
        <f>'5000 и 5001 свод'!M19</f>
        <v>0</v>
      </c>
      <c r="N18" s="32">
        <f>'5000 и 5001 свод'!N19</f>
        <v>0</v>
      </c>
    </row>
    <row r="19" spans="2:14" ht="16.5" thickBot="1" x14ac:dyDescent="0.3">
      <c r="B19" s="12" t="s">
        <v>182</v>
      </c>
      <c r="C19" s="7" t="s">
        <v>252</v>
      </c>
      <c r="D19" s="874"/>
      <c r="E19" s="31">
        <f>'5000 и 5001 свод'!E20</f>
        <v>0</v>
      </c>
      <c r="F19" s="31">
        <f>'5000 и 5001 свод'!F20</f>
        <v>0</v>
      </c>
      <c r="G19" s="31">
        <f>'5000 и 5001 свод'!G20</f>
        <v>0</v>
      </c>
      <c r="H19" s="31">
        <f>'5000 и 5001 свод'!H20</f>
        <v>0</v>
      </c>
      <c r="I19" s="31">
        <f>'5000 и 5001 свод'!I20</f>
        <v>0</v>
      </c>
      <c r="J19" s="31">
        <f>'5000 и 5001 свод'!J20</f>
        <v>0</v>
      </c>
      <c r="K19" s="31">
        <f>'5000 и 5001 свод'!K20</f>
        <v>0</v>
      </c>
      <c r="L19" s="31">
        <f>'5000 и 5001 свод'!L20</f>
        <v>0</v>
      </c>
      <c r="M19" s="31">
        <f>'5000 и 5001 свод'!M20</f>
        <v>0</v>
      </c>
      <c r="N19" s="32">
        <f>'5000 и 5001 свод'!N20</f>
        <v>0</v>
      </c>
    </row>
    <row r="20" spans="2:14" ht="32.25" thickBot="1" x14ac:dyDescent="0.3">
      <c r="B20" s="12" t="s">
        <v>191</v>
      </c>
      <c r="C20" s="7" t="s">
        <v>253</v>
      </c>
      <c r="D20" s="872" t="s">
        <v>192</v>
      </c>
      <c r="E20" s="31">
        <f>'5000 и 5001 свод'!E21</f>
        <v>0</v>
      </c>
      <c r="F20" s="31">
        <f>'5000 и 5001 свод'!F21</f>
        <v>0</v>
      </c>
      <c r="G20" s="31">
        <f>'5000 и 5001 свод'!G21</f>
        <v>0</v>
      </c>
      <c r="H20" s="31">
        <f>'5000 и 5001 свод'!H21</f>
        <v>0</v>
      </c>
      <c r="I20" s="31">
        <f>'5000 и 5001 свод'!I21</f>
        <v>0</v>
      </c>
      <c r="J20" s="31">
        <f>'5000 и 5001 свод'!J21</f>
        <v>0</v>
      </c>
      <c r="K20" s="31">
        <f>'5000 и 5001 свод'!K21</f>
        <v>0</v>
      </c>
      <c r="L20" s="31">
        <f>'5000 и 5001 свод'!L21</f>
        <v>0</v>
      </c>
      <c r="M20" s="31">
        <f>'5000 и 5001 свод'!M21</f>
        <v>0</v>
      </c>
      <c r="N20" s="32">
        <f>'5000 и 5001 свод'!N21</f>
        <v>0</v>
      </c>
    </row>
    <row r="21" spans="2:14" ht="16.5" thickBot="1" x14ac:dyDescent="0.3">
      <c r="B21" s="9" t="s">
        <v>182</v>
      </c>
      <c r="C21" s="7" t="s">
        <v>254</v>
      </c>
      <c r="D21" s="874"/>
      <c r="E21" s="33">
        <f>'5000 и 5001 свод'!E22</f>
        <v>0</v>
      </c>
      <c r="F21" s="33">
        <f>'5000 и 5001 свод'!F22</f>
        <v>0</v>
      </c>
      <c r="G21" s="33">
        <f>'5000 и 5001 свод'!G22</f>
        <v>0</v>
      </c>
      <c r="H21" s="33">
        <f>'5000 и 5001 свод'!H22</f>
        <v>0</v>
      </c>
      <c r="I21" s="33">
        <f>'5000 и 5001 свод'!I22</f>
        <v>0</v>
      </c>
      <c r="J21" s="33">
        <f>'5000 и 5001 свод'!J22</f>
        <v>0</v>
      </c>
      <c r="K21" s="33">
        <f>'5000 и 5001 свод'!K22</f>
        <v>0</v>
      </c>
      <c r="L21" s="33">
        <f>'5000 и 5001 свод'!L22</f>
        <v>0</v>
      </c>
      <c r="M21" s="33">
        <f>'5000 и 5001 свод'!M22</f>
        <v>0</v>
      </c>
      <c r="N21" s="34">
        <f>'5000 и 5001 свод'!N22</f>
        <v>0</v>
      </c>
    </row>
    <row r="22" spans="2:14" ht="16.5" thickBot="1" x14ac:dyDescent="0.3">
      <c r="B22" s="13" t="s">
        <v>193</v>
      </c>
      <c r="C22" s="7" t="s">
        <v>255</v>
      </c>
      <c r="D22" s="149" t="s">
        <v>194</v>
      </c>
      <c r="E22" s="35">
        <f>'5000 и 5001 свод'!E23</f>
        <v>0</v>
      </c>
      <c r="F22" s="35">
        <f>'5000 и 5001 свод'!F23</f>
        <v>0</v>
      </c>
      <c r="G22" s="35">
        <f>'5000 и 5001 свод'!G23</f>
        <v>0</v>
      </c>
      <c r="H22" s="35">
        <f>'5000 и 5001 свод'!H23</f>
        <v>0</v>
      </c>
      <c r="I22" s="35">
        <f>'5000 и 5001 свод'!I23</f>
        <v>0</v>
      </c>
      <c r="J22" s="35">
        <f>'5000 и 5001 свод'!J23</f>
        <v>0</v>
      </c>
      <c r="K22" s="35">
        <f>'5000 и 5001 свод'!K23</f>
        <v>0</v>
      </c>
      <c r="L22" s="35">
        <f>'5000 и 5001 свод'!L23</f>
        <v>0</v>
      </c>
      <c r="M22" s="35">
        <f>'5000 и 5001 свод'!M23</f>
        <v>0</v>
      </c>
      <c r="N22" s="36">
        <f>'5000 и 5001 свод'!N23</f>
        <v>0</v>
      </c>
    </row>
    <row r="23" spans="2:14" ht="16.5" thickBot="1" x14ac:dyDescent="0.3">
      <c r="B23" s="12" t="s">
        <v>182</v>
      </c>
      <c r="C23" s="7" t="s">
        <v>256</v>
      </c>
      <c r="D23" s="8" t="s">
        <v>195</v>
      </c>
      <c r="E23" s="31">
        <f>'5000 и 5001 свод'!E24</f>
        <v>0</v>
      </c>
      <c r="F23" s="31">
        <f>'5000 и 5001 свод'!F24</f>
        <v>0</v>
      </c>
      <c r="G23" s="31">
        <f>'5000 и 5001 свод'!G24</f>
        <v>0</v>
      </c>
      <c r="H23" s="31">
        <f>'5000 и 5001 свод'!H24</f>
        <v>0</v>
      </c>
      <c r="I23" s="31">
        <f>'5000 и 5001 свод'!I24</f>
        <v>0</v>
      </c>
      <c r="J23" s="31">
        <f>'5000 и 5001 свод'!J24</f>
        <v>0</v>
      </c>
      <c r="K23" s="31">
        <f>'5000 и 5001 свод'!K24</f>
        <v>0</v>
      </c>
      <c r="L23" s="31">
        <f>'5000 и 5001 свод'!L24</f>
        <v>0</v>
      </c>
      <c r="M23" s="31">
        <f>'5000 и 5001 свод'!M24</f>
        <v>0</v>
      </c>
      <c r="N23" s="32">
        <f>'5000 и 5001 свод'!N24</f>
        <v>0</v>
      </c>
    </row>
    <row r="24" spans="2:14" ht="16.5" thickBot="1" x14ac:dyDescent="0.3">
      <c r="B24" s="12" t="s">
        <v>196</v>
      </c>
      <c r="C24" s="7" t="s">
        <v>257</v>
      </c>
      <c r="D24" s="149" t="s">
        <v>197</v>
      </c>
      <c r="E24" s="31">
        <f>'5000 и 5001 свод'!E25</f>
        <v>0</v>
      </c>
      <c r="F24" s="31">
        <f>'5000 и 5001 свод'!F25</f>
        <v>0</v>
      </c>
      <c r="G24" s="31">
        <f>'5000 и 5001 свод'!G25</f>
        <v>0</v>
      </c>
      <c r="H24" s="31">
        <f>'5000 и 5001 свод'!H25</f>
        <v>0</v>
      </c>
      <c r="I24" s="31">
        <f>'5000 и 5001 свод'!I25</f>
        <v>0</v>
      </c>
      <c r="J24" s="31">
        <f>'5000 и 5001 свод'!J25</f>
        <v>0</v>
      </c>
      <c r="K24" s="31">
        <f>'5000 и 5001 свод'!K25</f>
        <v>0</v>
      </c>
      <c r="L24" s="31">
        <f>'5000 и 5001 свод'!L25</f>
        <v>0</v>
      </c>
      <c r="M24" s="31">
        <f>'5000 и 5001 свод'!M25</f>
        <v>0</v>
      </c>
      <c r="N24" s="32">
        <f>'5000 и 5001 свод'!N25</f>
        <v>0</v>
      </c>
    </row>
    <row r="25" spans="2:14" ht="16.5" thickBot="1" x14ac:dyDescent="0.3">
      <c r="B25" s="12" t="s">
        <v>182</v>
      </c>
      <c r="C25" s="7" t="s">
        <v>258</v>
      </c>
      <c r="D25" s="8" t="s">
        <v>198</v>
      </c>
      <c r="E25" s="31">
        <f>'5000 и 5001 свод'!E26</f>
        <v>0</v>
      </c>
      <c r="F25" s="31">
        <f>'5000 и 5001 свод'!F26</f>
        <v>0</v>
      </c>
      <c r="G25" s="31">
        <f>'5000 и 5001 свод'!G26</f>
        <v>0</v>
      </c>
      <c r="H25" s="31">
        <f>'5000 и 5001 свод'!H26</f>
        <v>0</v>
      </c>
      <c r="I25" s="31">
        <f>'5000 и 5001 свод'!I26</f>
        <v>0</v>
      </c>
      <c r="J25" s="31">
        <f>'5000 и 5001 свод'!J26</f>
        <v>0</v>
      </c>
      <c r="K25" s="31">
        <f>'5000 и 5001 свод'!K26</f>
        <v>0</v>
      </c>
      <c r="L25" s="31">
        <f>'5000 и 5001 свод'!L26</f>
        <v>0</v>
      </c>
      <c r="M25" s="31">
        <f>'5000 и 5001 свод'!M26</f>
        <v>0</v>
      </c>
      <c r="N25" s="32">
        <f>'5000 и 5001 свод'!N26</f>
        <v>0</v>
      </c>
    </row>
    <row r="26" spans="2:14" ht="16.5" thickBot="1" x14ac:dyDescent="0.3">
      <c r="B26" s="12" t="s">
        <v>199</v>
      </c>
      <c r="C26" s="7" t="s">
        <v>259</v>
      </c>
      <c r="D26" s="872" t="s">
        <v>200</v>
      </c>
      <c r="E26" s="31">
        <f>'5000 и 5001 свод'!E27</f>
        <v>6</v>
      </c>
      <c r="F26" s="31">
        <f>'5000 и 5001 свод'!F27</f>
        <v>6</v>
      </c>
      <c r="G26" s="31">
        <f>'5000 и 5001 свод'!G27</f>
        <v>2</v>
      </c>
      <c r="H26" s="31">
        <f>'5000 и 5001 свод'!H27</f>
        <v>4</v>
      </c>
      <c r="I26" s="31">
        <f>'5000 и 5001 свод'!I27</f>
        <v>0</v>
      </c>
      <c r="J26" s="31">
        <f>'5000 и 5001 свод'!J27</f>
        <v>0</v>
      </c>
      <c r="K26" s="31">
        <f>'5000 и 5001 свод'!K27</f>
        <v>0</v>
      </c>
      <c r="L26" s="31">
        <f>'5000 и 5001 свод'!L27</f>
        <v>0</v>
      </c>
      <c r="M26" s="31">
        <f>'5000 и 5001 свод'!M27</f>
        <v>0</v>
      </c>
      <c r="N26" s="32">
        <f>'5000 и 5001 свод'!N27</f>
        <v>0</v>
      </c>
    </row>
    <row r="27" spans="2:14" ht="16.5" thickBot="1" x14ac:dyDescent="0.3">
      <c r="B27" s="12" t="s">
        <v>201</v>
      </c>
      <c r="C27" s="7" t="s">
        <v>260</v>
      </c>
      <c r="D27" s="873"/>
      <c r="E27" s="31">
        <f>'5000 и 5001 свод'!E28</f>
        <v>3</v>
      </c>
      <c r="F27" s="31">
        <f>'5000 и 5001 свод'!F28</f>
        <v>3</v>
      </c>
      <c r="G27" s="31">
        <f>'5000 и 5001 свод'!G28</f>
        <v>1</v>
      </c>
      <c r="H27" s="31">
        <f>'5000 и 5001 свод'!H28</f>
        <v>2</v>
      </c>
      <c r="I27" s="31">
        <f>'5000 и 5001 свод'!I28</f>
        <v>0</v>
      </c>
      <c r="J27" s="31">
        <f>'5000 и 5001 свод'!J28</f>
        <v>0</v>
      </c>
      <c r="K27" s="31">
        <f>'5000 и 5001 свод'!K28</f>
        <v>0</v>
      </c>
      <c r="L27" s="31">
        <f>'5000 и 5001 свод'!L28</f>
        <v>0</v>
      </c>
      <c r="M27" s="31">
        <f>'5000 и 5001 свод'!M28</f>
        <v>0</v>
      </c>
      <c r="N27" s="32">
        <f>'5000 и 5001 свод'!N28</f>
        <v>0</v>
      </c>
    </row>
    <row r="28" spans="2:14" ht="16.5" thickBot="1" x14ac:dyDescent="0.3">
      <c r="B28" s="12" t="s">
        <v>202</v>
      </c>
      <c r="C28" s="7" t="s">
        <v>261</v>
      </c>
      <c r="D28" s="874"/>
      <c r="E28" s="31">
        <f>'5000 и 5001 свод'!E29</f>
        <v>3</v>
      </c>
      <c r="F28" s="31">
        <f>'5000 и 5001 свод'!F29</f>
        <v>3</v>
      </c>
      <c r="G28" s="31">
        <f>'5000 и 5001 свод'!G29</f>
        <v>1</v>
      </c>
      <c r="H28" s="31">
        <f>'5000 и 5001 свод'!H29</f>
        <v>2</v>
      </c>
      <c r="I28" s="31">
        <f>'5000 и 5001 свод'!I29</f>
        <v>0</v>
      </c>
      <c r="J28" s="31">
        <f>'5000 и 5001 свод'!J29</f>
        <v>0</v>
      </c>
      <c r="K28" s="31">
        <f>'5000 и 5001 свод'!K29</f>
        <v>0</v>
      </c>
      <c r="L28" s="31">
        <f>'5000 и 5001 свод'!L29</f>
        <v>0</v>
      </c>
      <c r="M28" s="31">
        <f>'5000 и 5001 свод'!M29</f>
        <v>0</v>
      </c>
      <c r="N28" s="32">
        <f>'5000 и 5001 свод'!N29</f>
        <v>0</v>
      </c>
    </row>
    <row r="29" spans="2:14" ht="16.5" thickBot="1" x14ac:dyDescent="0.3">
      <c r="B29" s="12" t="s">
        <v>203</v>
      </c>
      <c r="C29" s="7" t="s">
        <v>262</v>
      </c>
      <c r="D29" s="872" t="s">
        <v>204</v>
      </c>
      <c r="E29" s="31">
        <f>'5000 и 5001 свод'!E30</f>
        <v>0</v>
      </c>
      <c r="F29" s="31">
        <f>'5000 и 5001 свод'!F30</f>
        <v>0</v>
      </c>
      <c r="G29" s="31">
        <f>'5000 и 5001 свод'!G30</f>
        <v>0</v>
      </c>
      <c r="H29" s="31">
        <f>'5000 и 5001 свод'!H30</f>
        <v>0</v>
      </c>
      <c r="I29" s="31">
        <f>'5000 и 5001 свод'!I30</f>
        <v>0</v>
      </c>
      <c r="J29" s="31">
        <f>'5000 и 5001 свод'!J30</f>
        <v>0</v>
      </c>
      <c r="K29" s="31">
        <f>'5000 и 5001 свод'!K30</f>
        <v>0</v>
      </c>
      <c r="L29" s="31">
        <f>'5000 и 5001 свод'!L30</f>
        <v>0</v>
      </c>
      <c r="M29" s="31">
        <f>'5000 и 5001 свод'!M30</f>
        <v>0</v>
      </c>
      <c r="N29" s="32">
        <f>'5000 и 5001 свод'!N30</f>
        <v>0</v>
      </c>
    </row>
    <row r="30" spans="2:14" ht="16.5" thickBot="1" x14ac:dyDescent="0.3">
      <c r="B30" s="12" t="s">
        <v>201</v>
      </c>
      <c r="C30" s="7" t="s">
        <v>263</v>
      </c>
      <c r="D30" s="873"/>
      <c r="E30" s="31">
        <f>'5000 и 5001 свод'!E31</f>
        <v>0</v>
      </c>
      <c r="F30" s="31">
        <f>'5000 и 5001 свод'!F31</f>
        <v>0</v>
      </c>
      <c r="G30" s="31">
        <f>'5000 и 5001 свод'!G31</f>
        <v>0</v>
      </c>
      <c r="H30" s="31">
        <f>'5000 и 5001 свод'!H31</f>
        <v>0</v>
      </c>
      <c r="I30" s="31">
        <f>'5000 и 5001 свод'!I31</f>
        <v>0</v>
      </c>
      <c r="J30" s="31">
        <f>'5000 и 5001 свод'!J31</f>
        <v>0</v>
      </c>
      <c r="K30" s="31">
        <f>'5000 и 5001 свод'!K31</f>
        <v>0</v>
      </c>
      <c r="L30" s="31">
        <f>'5000 и 5001 свод'!L31</f>
        <v>0</v>
      </c>
      <c r="M30" s="31">
        <f>'5000 и 5001 свод'!M31</f>
        <v>0</v>
      </c>
      <c r="N30" s="32">
        <f>'5000 и 5001 свод'!N31</f>
        <v>0</v>
      </c>
    </row>
    <row r="31" spans="2:14" ht="16.5" thickBot="1" x14ac:dyDescent="0.3">
      <c r="B31" s="12" t="s">
        <v>202</v>
      </c>
      <c r="C31" s="7" t="s">
        <v>264</v>
      </c>
      <c r="D31" s="874"/>
      <c r="E31" s="31">
        <f>'5000 и 5001 свод'!E32</f>
        <v>0</v>
      </c>
      <c r="F31" s="31">
        <f>'5000 и 5001 свод'!F32</f>
        <v>0</v>
      </c>
      <c r="G31" s="31">
        <f>'5000 и 5001 свод'!G32</f>
        <v>0</v>
      </c>
      <c r="H31" s="31">
        <f>'5000 и 5001 свод'!H32</f>
        <v>0</v>
      </c>
      <c r="I31" s="31">
        <f>'5000 и 5001 свод'!I32</f>
        <v>0</v>
      </c>
      <c r="J31" s="31">
        <f>'5000 и 5001 свод'!J32</f>
        <v>0</v>
      </c>
      <c r="K31" s="31">
        <f>'5000 и 5001 свод'!K32</f>
        <v>0</v>
      </c>
      <c r="L31" s="31">
        <f>'5000 и 5001 свод'!L32</f>
        <v>0</v>
      </c>
      <c r="M31" s="31">
        <f>'5000 и 5001 свод'!M32</f>
        <v>0</v>
      </c>
      <c r="N31" s="32">
        <f>'5000 и 5001 свод'!N32</f>
        <v>0</v>
      </c>
    </row>
    <row r="32" spans="2:14" ht="16.5" thickBot="1" x14ac:dyDescent="0.3">
      <c r="B32" s="12" t="s">
        <v>205</v>
      </c>
      <c r="C32" s="7" t="s">
        <v>265</v>
      </c>
      <c r="D32" s="872" t="s">
        <v>206</v>
      </c>
      <c r="E32" s="31">
        <f>'5000 и 5001 свод'!E33</f>
        <v>1</v>
      </c>
      <c r="F32" s="31">
        <f>'5000 и 5001 свод'!F33</f>
        <v>1</v>
      </c>
      <c r="G32" s="31">
        <f>'5000 и 5001 свод'!G33</f>
        <v>0</v>
      </c>
      <c r="H32" s="31">
        <f>'5000 и 5001 свод'!H33</f>
        <v>1</v>
      </c>
      <c r="I32" s="31">
        <f>'5000 и 5001 свод'!I33</f>
        <v>0</v>
      </c>
      <c r="J32" s="31">
        <f>'5000 и 5001 свод'!J33</f>
        <v>0</v>
      </c>
      <c r="K32" s="31">
        <f>'5000 и 5001 свод'!K33</f>
        <v>0</v>
      </c>
      <c r="L32" s="31">
        <f>'5000 и 5001 свод'!L33</f>
        <v>0</v>
      </c>
      <c r="M32" s="31">
        <f>'5000 и 5001 свод'!M33</f>
        <v>0</v>
      </c>
      <c r="N32" s="32">
        <f>'5000 и 5001 свод'!N33</f>
        <v>0</v>
      </c>
    </row>
    <row r="33" spans="2:14" ht="16.5" thickBot="1" x14ac:dyDescent="0.3">
      <c r="B33" s="9" t="s">
        <v>182</v>
      </c>
      <c r="C33" s="22" t="s">
        <v>266</v>
      </c>
      <c r="D33" s="874"/>
      <c r="E33" s="33">
        <f>'5000 и 5001 свод'!E34</f>
        <v>1</v>
      </c>
      <c r="F33" s="33">
        <f>'5000 и 5001 свод'!F34</f>
        <v>1</v>
      </c>
      <c r="G33" s="33">
        <f>'5000 и 5001 свод'!G34</f>
        <v>0</v>
      </c>
      <c r="H33" s="33">
        <f>'5000 и 5001 свод'!H34</f>
        <v>1</v>
      </c>
      <c r="I33" s="33">
        <f>'5000 и 5001 свод'!I34</f>
        <v>0</v>
      </c>
      <c r="J33" s="33">
        <f>'5000 и 5001 свод'!J34</f>
        <v>0</v>
      </c>
      <c r="K33" s="33">
        <f>'5000 и 5001 свод'!K34</f>
        <v>0</v>
      </c>
      <c r="L33" s="33">
        <f>'5000 и 5001 свод'!L34</f>
        <v>0</v>
      </c>
      <c r="M33" s="33">
        <f>'5000 и 5001 свод'!M34</f>
        <v>0</v>
      </c>
      <c r="N33" s="34">
        <f>'5000 и 5001 свод'!N34</f>
        <v>0</v>
      </c>
    </row>
    <row r="34" spans="2:14" ht="16.5" thickBot="1" x14ac:dyDescent="0.3">
      <c r="B34" s="10" t="s">
        <v>207</v>
      </c>
      <c r="C34" s="14">
        <v>3</v>
      </c>
      <c r="D34" s="15" t="s">
        <v>208</v>
      </c>
      <c r="E34" s="29">
        <f>'5000 и 5001 свод'!E38</f>
        <v>69</v>
      </c>
      <c r="F34" s="29">
        <f>'5000 и 5001 свод'!F38</f>
        <v>69</v>
      </c>
      <c r="G34" s="29">
        <f>'5000 и 5001 свод'!G38</f>
        <v>17</v>
      </c>
      <c r="H34" s="29">
        <f>'5000 и 5001 свод'!H38</f>
        <v>52</v>
      </c>
      <c r="I34" s="29">
        <f>'5000 и 5001 свод'!I38</f>
        <v>2</v>
      </c>
      <c r="J34" s="29">
        <f>'5000 и 5001 свод'!J38</f>
        <v>2</v>
      </c>
      <c r="K34" s="29">
        <f>'5000 и 5001 свод'!K38</f>
        <v>2</v>
      </c>
      <c r="L34" s="29">
        <f>'5000 и 5001 свод'!L38</f>
        <v>2</v>
      </c>
      <c r="M34" s="29">
        <f>'5000 и 5001 свод'!M38</f>
        <v>0</v>
      </c>
      <c r="N34" s="30">
        <f>'5000 и 5001 свод'!N38</f>
        <v>0</v>
      </c>
    </row>
    <row r="35" spans="2:14" ht="16.5" thickBot="1" x14ac:dyDescent="0.3">
      <c r="B35" s="12" t="s">
        <v>209</v>
      </c>
      <c r="C35" s="7" t="s">
        <v>267</v>
      </c>
      <c r="D35" s="148" t="s">
        <v>210</v>
      </c>
      <c r="E35" s="31">
        <f>'5000 и 5001 свод'!E39</f>
        <v>69</v>
      </c>
      <c r="F35" s="31">
        <f>'5000 и 5001 свод'!F39</f>
        <v>69</v>
      </c>
      <c r="G35" s="31">
        <f>'5000 и 5001 свод'!G39</f>
        <v>17</v>
      </c>
      <c r="H35" s="31">
        <f>'5000 и 5001 свод'!H39</f>
        <v>52</v>
      </c>
      <c r="I35" s="31">
        <f>'5000 и 5001 свод'!I39</f>
        <v>2</v>
      </c>
      <c r="J35" s="31">
        <f>'5000 и 5001 свод'!J39</f>
        <v>2</v>
      </c>
      <c r="K35" s="31">
        <f>'5000 и 5001 свод'!K39</f>
        <v>2</v>
      </c>
      <c r="L35" s="31">
        <f>'5000 и 5001 свод'!L39</f>
        <v>2</v>
      </c>
      <c r="M35" s="31">
        <f>'5000 и 5001 свод'!M39</f>
        <v>0</v>
      </c>
      <c r="N35" s="32">
        <f>'5000 и 5001 свод'!N39</f>
        <v>0</v>
      </c>
    </row>
    <row r="36" spans="2:14" ht="32.25" thickBot="1" x14ac:dyDescent="0.3">
      <c r="B36" s="10" t="s">
        <v>211</v>
      </c>
      <c r="C36" s="14">
        <v>4</v>
      </c>
      <c r="D36" s="14" t="s">
        <v>212</v>
      </c>
      <c r="E36" s="29">
        <f>'5000 и 5001 свод'!E43</f>
        <v>0</v>
      </c>
      <c r="F36" s="29">
        <f>'5000 и 5001 свод'!F43</f>
        <v>0</v>
      </c>
      <c r="G36" s="29">
        <f>'5000 и 5001 свод'!G43</f>
        <v>0</v>
      </c>
      <c r="H36" s="29">
        <f>'5000 и 5001 свод'!H43</f>
        <v>0</v>
      </c>
      <c r="I36" s="29">
        <f>'5000 и 5001 свод'!I43</f>
        <v>0</v>
      </c>
      <c r="J36" s="29">
        <f>'5000 и 5001 свод'!J43</f>
        <v>0</v>
      </c>
      <c r="K36" s="29">
        <f>'5000 и 5001 свод'!K43</f>
        <v>0</v>
      </c>
      <c r="L36" s="29">
        <f>'5000 и 5001 свод'!L43</f>
        <v>0</v>
      </c>
      <c r="M36" s="29">
        <f>'5000 и 5001 свод'!M43</f>
        <v>0</v>
      </c>
      <c r="N36" s="30">
        <f>'5000 и 5001 свод'!N43</f>
        <v>0</v>
      </c>
    </row>
    <row r="37" spans="2:14" ht="16.5" thickBot="1" x14ac:dyDescent="0.3">
      <c r="B37" s="10" t="s">
        <v>213</v>
      </c>
      <c r="C37" s="14">
        <v>5</v>
      </c>
      <c r="D37" s="14" t="s">
        <v>275</v>
      </c>
      <c r="E37" s="30">
        <f>'5000 и 5001 свод'!E45</f>
        <v>0</v>
      </c>
      <c r="F37" s="30">
        <f>'5000 и 5001 свод'!F45</f>
        <v>0</v>
      </c>
      <c r="G37" s="30">
        <f>'5000 и 5001 свод'!G45</f>
        <v>0</v>
      </c>
      <c r="H37" s="30">
        <f>'5000 и 5001 свод'!H45</f>
        <v>0</v>
      </c>
      <c r="I37" s="30">
        <f>'5000 и 5001 свод'!I45</f>
        <v>0</v>
      </c>
      <c r="J37" s="30">
        <f>'5000 и 5001 свод'!J45</f>
        <v>0</v>
      </c>
      <c r="K37" s="30">
        <f>'5000 и 5001 свод'!K45</f>
        <v>0</v>
      </c>
      <c r="L37" s="30">
        <f>'5000 и 5001 свод'!L45</f>
        <v>0</v>
      </c>
      <c r="M37" s="30">
        <f>'5000 и 5001 свод'!M45</f>
        <v>0</v>
      </c>
      <c r="N37" s="30">
        <f>'5000 и 5001 свод'!N45</f>
        <v>0</v>
      </c>
    </row>
    <row r="38" spans="2:14" ht="16.5" thickBot="1" x14ac:dyDescent="0.3">
      <c r="B38" s="12" t="s">
        <v>214</v>
      </c>
      <c r="C38" s="148">
        <v>6</v>
      </c>
      <c r="D38" s="148" t="s">
        <v>215</v>
      </c>
      <c r="E38" s="31">
        <f>'5000 и 5001 свод'!E46</f>
        <v>0</v>
      </c>
      <c r="F38" s="31">
        <f>'5000 и 5001 свод'!F46</f>
        <v>0</v>
      </c>
      <c r="G38" s="31">
        <f>'5000 и 5001 свод'!G46</f>
        <v>0</v>
      </c>
      <c r="H38" s="31">
        <f>'5000 и 5001 свод'!H46</f>
        <v>0</v>
      </c>
      <c r="I38" s="31">
        <f>'5000 и 5001 свод'!I46</f>
        <v>0</v>
      </c>
      <c r="J38" s="31">
        <f>'5000 и 5001 свод'!J46</f>
        <v>0</v>
      </c>
      <c r="K38" s="31">
        <f>'5000 и 5001 свод'!K46</f>
        <v>0</v>
      </c>
      <c r="L38" s="31">
        <f>'5000 и 5001 свод'!L46</f>
        <v>0</v>
      </c>
      <c r="M38" s="31">
        <f>'5000 и 5001 свод'!M46</f>
        <v>0</v>
      </c>
      <c r="N38" s="32">
        <f>'5000 и 5001 свод'!N46</f>
        <v>0</v>
      </c>
    </row>
    <row r="39" spans="2:14" ht="16.5" thickBot="1" x14ac:dyDescent="0.3">
      <c r="B39" s="12" t="s">
        <v>216</v>
      </c>
      <c r="C39" s="148">
        <v>7</v>
      </c>
      <c r="D39" s="148" t="s">
        <v>217</v>
      </c>
      <c r="E39" s="31">
        <f>'5000 и 5001 свод'!E47</f>
        <v>0</v>
      </c>
      <c r="F39" s="31">
        <f>'5000 и 5001 свод'!F47</f>
        <v>0</v>
      </c>
      <c r="G39" s="31">
        <f>'5000 и 5001 свод'!G47</f>
        <v>0</v>
      </c>
      <c r="H39" s="31">
        <f>'5000 и 5001 свод'!H47</f>
        <v>0</v>
      </c>
      <c r="I39" s="31">
        <f>'5000 и 5001 свод'!I47</f>
        <v>0</v>
      </c>
      <c r="J39" s="31">
        <f>'5000 и 5001 свод'!J47</f>
        <v>0</v>
      </c>
      <c r="K39" s="31">
        <f>'5000 и 5001 свод'!K47</f>
        <v>0</v>
      </c>
      <c r="L39" s="31">
        <f>'5000 и 5001 свод'!L47</f>
        <v>0</v>
      </c>
      <c r="M39" s="31">
        <f>'5000 и 5001 свод'!M47</f>
        <v>0</v>
      </c>
      <c r="N39" s="32">
        <f>'5000 и 5001 свод'!N47</f>
        <v>0</v>
      </c>
    </row>
    <row r="40" spans="2:14" ht="16.5" thickBot="1" x14ac:dyDescent="0.3">
      <c r="B40" s="10" t="s">
        <v>218</v>
      </c>
      <c r="C40" s="14">
        <v>8</v>
      </c>
      <c r="D40" s="14" t="s">
        <v>219</v>
      </c>
      <c r="E40" s="30">
        <f>'5000 и 5001 свод'!E75</f>
        <v>0</v>
      </c>
      <c r="F40" s="30">
        <f>'5000 и 5001 свод'!F75</f>
        <v>0</v>
      </c>
      <c r="G40" s="30">
        <f>'5000 и 5001 свод'!G75</f>
        <v>0</v>
      </c>
      <c r="H40" s="30">
        <f>'5000 и 5001 свод'!H75</f>
        <v>0</v>
      </c>
      <c r="I40" s="30">
        <f>'5000 и 5001 свод'!I75</f>
        <v>0</v>
      </c>
      <c r="J40" s="30">
        <f>'5000 и 5001 свод'!J75</f>
        <v>0</v>
      </c>
      <c r="K40" s="30">
        <f>'5000 и 5001 свод'!K75</f>
        <v>0</v>
      </c>
      <c r="L40" s="30">
        <f>'5000 и 5001 свод'!L75</f>
        <v>0</v>
      </c>
      <c r="M40" s="30">
        <f>'5000 и 5001 свод'!M75</f>
        <v>0</v>
      </c>
      <c r="N40" s="30">
        <f>'5000 и 5001 свод'!N75</f>
        <v>0</v>
      </c>
    </row>
    <row r="41" spans="2:14" ht="16.5" thickBot="1" x14ac:dyDescent="0.3">
      <c r="B41" s="10" t="s">
        <v>220</v>
      </c>
      <c r="C41" s="14">
        <v>9</v>
      </c>
      <c r="D41" s="14" t="s">
        <v>221</v>
      </c>
      <c r="E41" s="37">
        <f>'5000 и 5001 свод'!E48</f>
        <v>1268</v>
      </c>
      <c r="F41" s="37">
        <f>'5000 и 5001 свод'!F48</f>
        <v>754</v>
      </c>
      <c r="G41" s="37">
        <f>'5000 и 5001 свод'!G48</f>
        <v>314</v>
      </c>
      <c r="H41" s="37">
        <f>'5000 и 5001 свод'!H48</f>
        <v>954</v>
      </c>
      <c r="I41" s="37">
        <f>'5000 и 5001 свод'!I48</f>
        <v>5</v>
      </c>
      <c r="J41" s="37">
        <f>'5000 и 5001 свод'!J48</f>
        <v>5</v>
      </c>
      <c r="K41" s="37">
        <f>'5000 и 5001 свод'!K48</f>
        <v>5</v>
      </c>
      <c r="L41" s="37">
        <f>'5000 и 5001 свод'!L48</f>
        <v>5</v>
      </c>
      <c r="M41" s="37">
        <f>'5000 и 5001 свод'!M48</f>
        <v>0</v>
      </c>
      <c r="N41" s="38">
        <f>'5000 и 5001 свод'!N48</f>
        <v>0</v>
      </c>
    </row>
    <row r="42" spans="2:14" ht="32.25" thickBot="1" x14ac:dyDescent="0.3">
      <c r="B42" s="12" t="s">
        <v>222</v>
      </c>
      <c r="C42" s="7" t="s">
        <v>268</v>
      </c>
      <c r="D42" s="148" t="s">
        <v>223</v>
      </c>
      <c r="E42" s="31">
        <f>'5000 и 5001 свод'!E49</f>
        <v>452</v>
      </c>
      <c r="F42" s="31">
        <f>'5000 и 5001 свод'!F49</f>
        <v>409</v>
      </c>
      <c r="G42" s="31">
        <f>'5000 и 5001 свод'!G49</f>
        <v>155</v>
      </c>
      <c r="H42" s="31">
        <f>'5000 и 5001 свод'!H49</f>
        <v>297</v>
      </c>
      <c r="I42" s="31">
        <f>'5000 и 5001 свод'!I49</f>
        <v>5</v>
      </c>
      <c r="J42" s="31">
        <f>'5000 и 5001 свод'!J49</f>
        <v>5</v>
      </c>
      <c r="K42" s="31">
        <f>'5000 и 5001 свод'!K49</f>
        <v>5</v>
      </c>
      <c r="L42" s="31">
        <f>'5000 и 5001 свод'!L49</f>
        <v>5</v>
      </c>
      <c r="M42" s="31">
        <f>'5000 и 5001 свод'!M49</f>
        <v>0</v>
      </c>
      <c r="N42" s="32">
        <f>'5000 и 5001 свод'!N49</f>
        <v>0</v>
      </c>
    </row>
    <row r="43" spans="2:14" ht="16.5" thickBot="1" x14ac:dyDescent="0.3">
      <c r="B43" s="12" t="s">
        <v>224</v>
      </c>
      <c r="C43" s="7" t="s">
        <v>269</v>
      </c>
      <c r="D43" s="148" t="s">
        <v>225</v>
      </c>
      <c r="E43" s="31">
        <f>'5000 и 5001 свод'!E50</f>
        <v>319</v>
      </c>
      <c r="F43" s="31">
        <f>'5000 и 5001 свод'!F50</f>
        <v>204</v>
      </c>
      <c r="G43" s="31">
        <f>'5000 и 5001 свод'!G50</f>
        <v>43</v>
      </c>
      <c r="H43" s="31">
        <f>'5000 и 5001 свод'!H50</f>
        <v>276</v>
      </c>
      <c r="I43" s="31">
        <f>'5000 и 5001 свод'!I50</f>
        <v>0</v>
      </c>
      <c r="J43" s="31">
        <f>'5000 и 5001 свод'!J50</f>
        <v>0</v>
      </c>
      <c r="K43" s="31">
        <f>'5000 и 5001 свод'!K50</f>
        <v>0</v>
      </c>
      <c r="L43" s="31">
        <f>'5000 и 5001 свод'!L50</f>
        <v>0</v>
      </c>
      <c r="M43" s="31">
        <f>'5000 и 5001 свод'!M50</f>
        <v>0</v>
      </c>
      <c r="N43" s="32">
        <f>'5000 и 5001 свод'!N50</f>
        <v>0</v>
      </c>
    </row>
    <row r="44" spans="2:14" ht="16.5" thickBot="1" x14ac:dyDescent="0.3">
      <c r="B44" s="12" t="s">
        <v>226</v>
      </c>
      <c r="C44" s="7" t="s">
        <v>270</v>
      </c>
      <c r="D44" s="148" t="s">
        <v>227</v>
      </c>
      <c r="E44" s="31">
        <f>'5000 и 5001 свод'!E56</f>
        <v>343</v>
      </c>
      <c r="F44" s="31">
        <f>'5000 и 5001 свод'!F56</f>
        <v>87</v>
      </c>
      <c r="G44" s="31">
        <f>'5000 и 5001 свод'!G56</f>
        <v>97</v>
      </c>
      <c r="H44" s="31">
        <f>'5000 и 5001 свод'!H56</f>
        <v>246</v>
      </c>
      <c r="I44" s="31">
        <f>'5000 и 5001 свод'!I56</f>
        <v>0</v>
      </c>
      <c r="J44" s="31">
        <f>'5000 и 5001 свод'!J56</f>
        <v>0</v>
      </c>
      <c r="K44" s="31">
        <f>'5000 и 5001 свод'!K56</f>
        <v>0</v>
      </c>
      <c r="L44" s="31">
        <f>'5000 и 5001 свод'!L56</f>
        <v>0</v>
      </c>
      <c r="M44" s="31">
        <f>'5000 и 5001 свод'!M56</f>
        <v>0</v>
      </c>
      <c r="N44" s="32">
        <f>'5000 и 5001 свод'!N56</f>
        <v>0</v>
      </c>
    </row>
    <row r="45" spans="2:14" ht="48" thickBot="1" x14ac:dyDescent="0.3">
      <c r="B45" s="12" t="s">
        <v>228</v>
      </c>
      <c r="C45" s="7" t="s">
        <v>271</v>
      </c>
      <c r="D45" s="148" t="s">
        <v>229</v>
      </c>
      <c r="E45" s="31">
        <f>'5000 и 5001 свод'!E57</f>
        <v>0</v>
      </c>
      <c r="F45" s="31">
        <f>'5000 и 5001 свод'!F57</f>
        <v>0</v>
      </c>
      <c r="G45" s="31">
        <f>'5000 и 5001 свод'!G57</f>
        <v>0</v>
      </c>
      <c r="H45" s="31">
        <f>'5000 и 5001 свод'!H57</f>
        <v>0</v>
      </c>
      <c r="I45" s="31">
        <f>'5000 и 5001 свод'!I57</f>
        <v>0</v>
      </c>
      <c r="J45" s="31">
        <f>'5000 и 5001 свод'!J57</f>
        <v>0</v>
      </c>
      <c r="K45" s="31">
        <f>'5000 и 5001 свод'!K57</f>
        <v>0</v>
      </c>
      <c r="L45" s="31">
        <f>'5000 и 5001 свод'!L57</f>
        <v>0</v>
      </c>
      <c r="M45" s="31">
        <f>'5000 и 5001 свод'!M57</f>
        <v>0</v>
      </c>
      <c r="N45" s="32">
        <f>'5000 и 5001 свод'!N57</f>
        <v>0</v>
      </c>
    </row>
    <row r="46" spans="2:14" ht="16.5" thickBot="1" x14ac:dyDescent="0.3">
      <c r="B46" s="16" t="s">
        <v>230</v>
      </c>
      <c r="C46" s="17">
        <v>10</v>
      </c>
      <c r="D46" s="17" t="s">
        <v>231</v>
      </c>
      <c r="E46" s="37">
        <f>'5000 и 5001 свод'!E60</f>
        <v>52</v>
      </c>
      <c r="F46" s="37">
        <f>'5000 и 5001 свод'!F60</f>
        <v>44</v>
      </c>
      <c r="G46" s="37">
        <f>'5000 и 5001 свод'!G60</f>
        <v>26</v>
      </c>
      <c r="H46" s="37">
        <f>'5000 и 5001 свод'!H60</f>
        <v>26</v>
      </c>
      <c r="I46" s="37">
        <f>'5000 и 5001 свод'!I60</f>
        <v>3</v>
      </c>
      <c r="J46" s="37">
        <f>'5000 и 5001 свод'!J60</f>
        <v>3</v>
      </c>
      <c r="K46" s="37">
        <f>'5000 и 5001 свод'!K60</f>
        <v>2</v>
      </c>
      <c r="L46" s="37">
        <f>'5000 и 5001 свод'!L60</f>
        <v>2</v>
      </c>
      <c r="M46" s="37">
        <f>'5000 и 5001 свод'!M60</f>
        <v>1</v>
      </c>
      <c r="N46" s="38">
        <f>'5000 и 5001 свод'!N60</f>
        <v>1</v>
      </c>
    </row>
    <row r="47" spans="2:14" ht="48" thickBot="1" x14ac:dyDescent="0.3">
      <c r="B47" s="13" t="s">
        <v>232</v>
      </c>
      <c r="C47" s="7" t="s">
        <v>272</v>
      </c>
      <c r="D47" s="149" t="s">
        <v>233</v>
      </c>
      <c r="E47" s="35">
        <f>'5000 и 5001 свод'!E62</f>
        <v>23</v>
      </c>
      <c r="F47" s="35">
        <f>'5000 и 5001 свод'!F62</f>
        <v>15</v>
      </c>
      <c r="G47" s="35">
        <f>'5000 и 5001 свод'!G62</f>
        <v>16</v>
      </c>
      <c r="H47" s="35">
        <f>'5000 и 5001 свод'!H62</f>
        <v>7</v>
      </c>
      <c r="I47" s="35">
        <f>'5000 и 5001 свод'!I62</f>
        <v>0</v>
      </c>
      <c r="J47" s="35">
        <f>'5000 и 5001 свод'!J62</f>
        <v>0</v>
      </c>
      <c r="K47" s="35">
        <f>'5000 и 5001 свод'!K62</f>
        <v>0</v>
      </c>
      <c r="L47" s="35">
        <f>'5000 и 5001 свод'!L62</f>
        <v>0</v>
      </c>
      <c r="M47" s="35">
        <f>'5000 и 5001 свод'!M62</f>
        <v>0</v>
      </c>
      <c r="N47" s="36">
        <f>'5000 и 5001 свод'!N62</f>
        <v>0</v>
      </c>
    </row>
    <row r="48" spans="2:14" ht="48" thickBot="1" x14ac:dyDescent="0.3">
      <c r="B48" s="12" t="s">
        <v>234</v>
      </c>
      <c r="C48" s="7" t="s">
        <v>273</v>
      </c>
      <c r="D48" s="148" t="s">
        <v>235</v>
      </c>
      <c r="E48" s="31">
        <f>'5000 и 5001 свод'!E63</f>
        <v>27</v>
      </c>
      <c r="F48" s="31">
        <f>'5000 и 5001 свод'!F63</f>
        <v>27</v>
      </c>
      <c r="G48" s="31">
        <f>'5000 и 5001 свод'!G63</f>
        <v>8</v>
      </c>
      <c r="H48" s="31">
        <f>'5000 и 5001 свод'!H63</f>
        <v>19</v>
      </c>
      <c r="I48" s="31">
        <f>'5000 и 5001 свод'!I63</f>
        <v>0</v>
      </c>
      <c r="J48" s="31">
        <f>'5000 и 5001 свод'!J63</f>
        <v>0</v>
      </c>
      <c r="K48" s="31">
        <f>'5000 и 5001 свод'!K63</f>
        <v>0</v>
      </c>
      <c r="L48" s="31">
        <f>'5000 и 5001 свод'!L63</f>
        <v>0</v>
      </c>
      <c r="M48" s="31">
        <f>'5000 и 5001 свод'!M63</f>
        <v>0</v>
      </c>
      <c r="N48" s="32">
        <f>'5000 и 5001 свод'!N63</f>
        <v>0</v>
      </c>
    </row>
    <row r="49" spans="2:14" ht="16.5" thickBot="1" x14ac:dyDescent="0.3">
      <c r="B49" s="10" t="s">
        <v>236</v>
      </c>
      <c r="C49" s="14">
        <v>11</v>
      </c>
      <c r="D49" s="14" t="s">
        <v>237</v>
      </c>
      <c r="E49" s="29">
        <f>'5000 и 5001 свод'!E64</f>
        <v>155</v>
      </c>
      <c r="F49" s="29">
        <f>'5000 и 5001 свод'!F64</f>
        <v>81</v>
      </c>
      <c r="G49" s="29">
        <f>'5000 и 5001 свод'!G64</f>
        <v>83</v>
      </c>
      <c r="H49" s="29">
        <f>'5000 и 5001 свод'!H64</f>
        <v>72</v>
      </c>
      <c r="I49" s="29">
        <f>'5000 и 5001 свод'!I64</f>
        <v>4</v>
      </c>
      <c r="J49" s="29">
        <f>'5000 и 5001 свод'!J64</f>
        <v>4</v>
      </c>
      <c r="K49" s="29">
        <f>'5000 и 5001 свод'!K64</f>
        <v>4</v>
      </c>
      <c r="L49" s="29">
        <f>'5000 и 5001 свод'!L64</f>
        <v>4</v>
      </c>
      <c r="M49" s="29">
        <f>'5000 и 5001 свод'!M64</f>
        <v>0</v>
      </c>
      <c r="N49" s="30">
        <f>'5000 и 5001 свод'!N64</f>
        <v>0</v>
      </c>
    </row>
    <row r="50" spans="2:14" ht="16.5" thickBot="1" x14ac:dyDescent="0.3">
      <c r="B50" s="12" t="s">
        <v>238</v>
      </c>
      <c r="C50" s="7" t="s">
        <v>274</v>
      </c>
      <c r="D50" s="148" t="s">
        <v>239</v>
      </c>
      <c r="E50" s="31">
        <f>'5000 и 5001 свод'!E65</f>
        <v>34</v>
      </c>
      <c r="F50" s="31">
        <f>'5000 и 5001 свод'!F65</f>
        <v>34</v>
      </c>
      <c r="G50" s="31">
        <f>'5000 и 5001 свод'!G65</f>
        <v>21</v>
      </c>
      <c r="H50" s="31">
        <f>'5000 и 5001 свод'!H65</f>
        <v>13</v>
      </c>
      <c r="I50" s="31">
        <f>'5000 и 5001 свод'!I65</f>
        <v>0</v>
      </c>
      <c r="J50" s="31">
        <f>'5000 и 5001 свод'!J65</f>
        <v>0</v>
      </c>
      <c r="K50" s="31">
        <f>'5000 и 5001 свод'!K65</f>
        <v>0</v>
      </c>
      <c r="L50" s="31">
        <f>'5000 и 5001 свод'!L65</f>
        <v>0</v>
      </c>
      <c r="M50" s="31">
        <f>'5000 и 5001 свод'!M65</f>
        <v>0</v>
      </c>
      <c r="N50" s="32">
        <f>'5000 и 5001 свод'!N65</f>
        <v>0</v>
      </c>
    </row>
    <row r="51" spans="2:14" ht="16.5" thickBot="1" x14ac:dyDescent="0.3">
      <c r="B51" s="12" t="s">
        <v>240</v>
      </c>
      <c r="C51" s="148">
        <v>12</v>
      </c>
      <c r="D51" s="148" t="s">
        <v>241</v>
      </c>
      <c r="E51" s="31">
        <f>'5000 и 5001 свод'!E66</f>
        <v>44</v>
      </c>
      <c r="F51" s="31">
        <f>'5000 и 5001 свод'!F66</f>
        <v>28</v>
      </c>
      <c r="G51" s="31">
        <f>'5000 и 5001 свод'!G66</f>
        <v>29</v>
      </c>
      <c r="H51" s="31">
        <f>'5000 и 5001 свод'!H66</f>
        <v>15</v>
      </c>
      <c r="I51" s="31">
        <f>'5000 и 5001 свод'!I66</f>
        <v>4</v>
      </c>
      <c r="J51" s="31">
        <f>'5000 и 5001 свод'!J66</f>
        <v>4</v>
      </c>
      <c r="K51" s="31">
        <f>'5000 и 5001 свод'!K66</f>
        <v>4</v>
      </c>
      <c r="L51" s="31">
        <f>'5000 и 5001 свод'!L66</f>
        <v>4</v>
      </c>
      <c r="M51" s="31">
        <f>'5000 и 5001 свод'!M66</f>
        <v>0</v>
      </c>
      <c r="N51" s="32">
        <f>'5000 и 5001 свод'!N66</f>
        <v>0</v>
      </c>
    </row>
    <row r="52" spans="2:14" ht="16.5" thickBot="1" x14ac:dyDescent="0.3">
      <c r="B52" s="16" t="s">
        <v>242</v>
      </c>
      <c r="C52" s="17">
        <v>13</v>
      </c>
      <c r="D52" s="18"/>
      <c r="E52" s="37">
        <f>'5000 и 5001 свод'!E69</f>
        <v>255</v>
      </c>
      <c r="F52" s="37">
        <f>'5000 и 5001 свод'!F69</f>
        <v>22</v>
      </c>
      <c r="G52" s="37">
        <f>'5000 и 5001 свод'!G69</f>
        <v>125</v>
      </c>
      <c r="H52" s="37">
        <f>'5000 и 5001 свод'!H69</f>
        <v>130</v>
      </c>
      <c r="I52" s="37">
        <f>'5000 и 5001 свод'!I69</f>
        <v>3</v>
      </c>
      <c r="J52" s="37">
        <f>'5000 и 5001 свод'!J69</f>
        <v>3</v>
      </c>
      <c r="K52" s="37">
        <f>'5000 и 5001 свод'!K69</f>
        <v>0</v>
      </c>
      <c r="L52" s="37">
        <f>'5000 и 5001 свод'!L69</f>
        <v>0</v>
      </c>
      <c r="M52" s="37">
        <f>'5000 и 5001 свод'!M69</f>
        <v>3</v>
      </c>
      <c r="N52" s="38">
        <f>'5000 и 5001 свод'!N69</f>
        <v>3</v>
      </c>
    </row>
    <row r="54" spans="2:14" ht="16.5" thickBot="1" x14ac:dyDescent="0.3">
      <c r="B54" s="21" t="s">
        <v>276</v>
      </c>
      <c r="K54" s="5" t="s">
        <v>318</v>
      </c>
    </row>
    <row r="55" spans="2:14" ht="31.5" customHeight="1" thickBot="1" x14ac:dyDescent="0.3">
      <c r="B55" s="882" t="s">
        <v>277</v>
      </c>
      <c r="C55" s="882"/>
      <c r="D55" s="882"/>
      <c r="E55" s="882"/>
      <c r="F55" s="882"/>
      <c r="G55" s="882"/>
      <c r="H55" s="882"/>
      <c r="I55" s="882"/>
      <c r="J55" s="882"/>
      <c r="K55" s="882"/>
      <c r="L55" s="882"/>
      <c r="M55" s="19">
        <f>'5000 и 5001 свод'!M81</f>
        <v>0</v>
      </c>
      <c r="N55" s="20" t="s">
        <v>51</v>
      </c>
    </row>
  </sheetData>
  <sheetProtection password="DB70" sheet="1" objects="1" scenarios="1" autoFilter="0"/>
  <mergeCells count="22">
    <mergeCell ref="A1:N1"/>
    <mergeCell ref="E5:F5"/>
    <mergeCell ref="G5:H5"/>
    <mergeCell ref="I5:J5"/>
    <mergeCell ref="K5:L5"/>
    <mergeCell ref="M5:N5"/>
    <mergeCell ref="B2:N2"/>
    <mergeCell ref="C4:C6"/>
    <mergeCell ref="E4:H4"/>
    <mergeCell ref="I4:N4"/>
    <mergeCell ref="B4:B6"/>
    <mergeCell ref="D4:D6"/>
    <mergeCell ref="B55:L55"/>
    <mergeCell ref="D26:D28"/>
    <mergeCell ref="D29:D31"/>
    <mergeCell ref="D32:D33"/>
    <mergeCell ref="D10:D11"/>
    <mergeCell ref="D12:D13"/>
    <mergeCell ref="D18:D19"/>
    <mergeCell ref="D20:D21"/>
    <mergeCell ref="D14:D15"/>
    <mergeCell ref="D16:D17"/>
  </mergeCells>
  <hyperlinks>
    <hyperlink ref="D4" r:id="rId1" display="http://ivo.garant.ru/document/redirect/4100000/0"/>
    <hyperlink ref="K54" r:id="rId2" display="http://ivo.garant.ru/document/redirect/179222/792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4294967295" verticalDpi="4294967295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54"/>
  <sheetViews>
    <sheetView workbookViewId="0">
      <selection activeCell="A14" sqref="A14"/>
    </sheetView>
  </sheetViews>
  <sheetFormatPr defaultRowHeight="15" x14ac:dyDescent="0.25"/>
  <sheetData>
    <row r="1" spans="1:1" x14ac:dyDescent="0.25">
      <c r="A1" t="s">
        <v>413</v>
      </c>
    </row>
    <row r="2" spans="1:1" x14ac:dyDescent="0.25">
      <c r="A2" t="s">
        <v>414</v>
      </c>
    </row>
    <row r="3" spans="1:1" x14ac:dyDescent="0.25">
      <c r="A3" t="s">
        <v>415</v>
      </c>
    </row>
    <row r="4" spans="1:1" x14ac:dyDescent="0.25">
      <c r="A4" t="s">
        <v>416</v>
      </c>
    </row>
    <row r="5" spans="1:1" x14ac:dyDescent="0.25">
      <c r="A5" t="s">
        <v>417</v>
      </c>
    </row>
    <row r="6" spans="1:1" x14ac:dyDescent="0.25">
      <c r="A6" t="s">
        <v>418</v>
      </c>
    </row>
    <row r="7" spans="1:1" x14ac:dyDescent="0.25">
      <c r="A7" t="s">
        <v>419</v>
      </c>
    </row>
    <row r="8" spans="1:1" x14ac:dyDescent="0.25">
      <c r="A8" t="s">
        <v>420</v>
      </c>
    </row>
    <row r="9" spans="1:1" x14ac:dyDescent="0.25">
      <c r="A9" t="s">
        <v>421</v>
      </c>
    </row>
    <row r="10" spans="1:1" x14ac:dyDescent="0.25">
      <c r="A10" t="s">
        <v>422</v>
      </c>
    </row>
    <row r="11" spans="1:1" x14ac:dyDescent="0.25">
      <c r="A11" t="s">
        <v>423</v>
      </c>
    </row>
    <row r="12" spans="1:1" x14ac:dyDescent="0.25">
      <c r="A12" t="s">
        <v>424</v>
      </c>
    </row>
    <row r="13" spans="1:1" x14ac:dyDescent="0.25">
      <c r="A13" t="s">
        <v>425</v>
      </c>
    </row>
    <row r="14" spans="1:1" x14ac:dyDescent="0.25">
      <c r="A14" t="s">
        <v>426</v>
      </c>
    </row>
    <row r="15" spans="1:1" x14ac:dyDescent="0.25">
      <c r="A15" t="s">
        <v>427</v>
      </c>
    </row>
    <row r="16" spans="1:1" x14ac:dyDescent="0.25">
      <c r="A16" t="s">
        <v>428</v>
      </c>
    </row>
    <row r="17" spans="1:1" x14ac:dyDescent="0.25">
      <c r="A17" t="s">
        <v>429</v>
      </c>
    </row>
    <row r="18" spans="1:1" x14ac:dyDescent="0.25">
      <c r="A18" t="s">
        <v>430</v>
      </c>
    </row>
    <row r="19" spans="1:1" x14ac:dyDescent="0.25">
      <c r="A19" t="s">
        <v>431</v>
      </c>
    </row>
    <row r="20" spans="1:1" x14ac:dyDescent="0.25">
      <c r="A20" t="s">
        <v>432</v>
      </c>
    </row>
    <row r="21" spans="1:1" x14ac:dyDescent="0.25">
      <c r="A21" t="s">
        <v>433</v>
      </c>
    </row>
    <row r="22" spans="1:1" x14ac:dyDescent="0.25">
      <c r="A22" t="s">
        <v>434</v>
      </c>
    </row>
    <row r="23" spans="1:1" x14ac:dyDescent="0.25">
      <c r="A23" t="s">
        <v>435</v>
      </c>
    </row>
    <row r="24" spans="1:1" x14ac:dyDescent="0.25">
      <c r="A24" t="s">
        <v>436</v>
      </c>
    </row>
    <row r="25" spans="1:1" x14ac:dyDescent="0.25">
      <c r="A25" t="s">
        <v>437</v>
      </c>
    </row>
    <row r="26" spans="1:1" x14ac:dyDescent="0.25">
      <c r="A26" t="s">
        <v>438</v>
      </c>
    </row>
    <row r="27" spans="1:1" x14ac:dyDescent="0.25">
      <c r="A27" t="s">
        <v>439</v>
      </c>
    </row>
    <row r="28" spans="1:1" x14ac:dyDescent="0.25">
      <c r="A28" t="s">
        <v>440</v>
      </c>
    </row>
    <row r="29" spans="1:1" x14ac:dyDescent="0.25">
      <c r="A29" t="s">
        <v>441</v>
      </c>
    </row>
    <row r="30" spans="1:1" x14ac:dyDescent="0.25">
      <c r="A30" t="s">
        <v>442</v>
      </c>
    </row>
    <row r="31" spans="1:1" x14ac:dyDescent="0.25">
      <c r="A31" t="s">
        <v>443</v>
      </c>
    </row>
    <row r="32" spans="1:1" x14ac:dyDescent="0.25">
      <c r="A32" t="s">
        <v>444</v>
      </c>
    </row>
    <row r="33" spans="1:1" x14ac:dyDescent="0.25">
      <c r="A33" t="s">
        <v>445</v>
      </c>
    </row>
    <row r="34" spans="1:1" x14ac:dyDescent="0.25">
      <c r="A34" t="s">
        <v>446</v>
      </c>
    </row>
    <row r="35" spans="1:1" x14ac:dyDescent="0.25">
      <c r="A35" t="s">
        <v>447</v>
      </c>
    </row>
    <row r="36" spans="1:1" x14ac:dyDescent="0.25">
      <c r="A36" t="s">
        <v>448</v>
      </c>
    </row>
    <row r="37" spans="1:1" x14ac:dyDescent="0.25">
      <c r="A37" t="s">
        <v>449</v>
      </c>
    </row>
    <row r="38" spans="1:1" x14ac:dyDescent="0.25">
      <c r="A38" t="s">
        <v>450</v>
      </c>
    </row>
    <row r="39" spans="1:1" x14ac:dyDescent="0.25">
      <c r="A39" t="s">
        <v>451</v>
      </c>
    </row>
    <row r="40" spans="1:1" x14ac:dyDescent="0.25">
      <c r="A40" t="s">
        <v>452</v>
      </c>
    </row>
    <row r="41" spans="1:1" x14ac:dyDescent="0.25">
      <c r="A41" t="s">
        <v>453</v>
      </c>
    </row>
    <row r="42" spans="1:1" x14ac:dyDescent="0.25">
      <c r="A42" t="s">
        <v>454</v>
      </c>
    </row>
    <row r="43" spans="1:1" x14ac:dyDescent="0.25">
      <c r="A43" t="s">
        <v>455</v>
      </c>
    </row>
    <row r="44" spans="1:1" x14ac:dyDescent="0.25">
      <c r="A44" t="s">
        <v>456</v>
      </c>
    </row>
    <row r="45" spans="1:1" x14ac:dyDescent="0.25">
      <c r="A45" t="s">
        <v>457</v>
      </c>
    </row>
    <row r="46" spans="1:1" x14ac:dyDescent="0.25">
      <c r="A46" t="s">
        <v>458</v>
      </c>
    </row>
    <row r="47" spans="1:1" x14ac:dyDescent="0.25">
      <c r="A47" t="s">
        <v>459</v>
      </c>
    </row>
    <row r="48" spans="1:1" x14ac:dyDescent="0.25">
      <c r="A48" t="s">
        <v>460</v>
      </c>
    </row>
    <row r="49" spans="1:1" x14ac:dyDescent="0.25">
      <c r="A49" t="s">
        <v>461</v>
      </c>
    </row>
    <row r="50" spans="1:1" x14ac:dyDescent="0.25">
      <c r="A50" t="s">
        <v>462</v>
      </c>
    </row>
    <row r="51" spans="1:1" x14ac:dyDescent="0.25">
      <c r="A51" t="s">
        <v>463</v>
      </c>
    </row>
    <row r="52" spans="1:1" x14ac:dyDescent="0.25">
      <c r="A52" t="s">
        <v>464</v>
      </c>
    </row>
    <row r="53" spans="1:1" x14ac:dyDescent="0.25">
      <c r="A53" s="452" t="s">
        <v>819</v>
      </c>
    </row>
    <row r="54" spans="1:1" x14ac:dyDescent="0.25">
      <c r="A54" t="s">
        <v>500</v>
      </c>
    </row>
  </sheetData>
  <sheetProtection password="DB70" sheet="1" objects="1" scenarios="1" autoFilter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L55"/>
  <sheetViews>
    <sheetView workbookViewId="0">
      <selection activeCell="J15" sqref="J15"/>
    </sheetView>
  </sheetViews>
  <sheetFormatPr defaultRowHeight="15" x14ac:dyDescent="0.25"/>
  <cols>
    <col min="1" max="1" width="5.42578125" customWidth="1"/>
    <col min="2" max="2" width="51.7109375" customWidth="1"/>
    <col min="3" max="3" width="23.5703125" bestFit="1" customWidth="1"/>
    <col min="4" max="4" width="34.28515625" customWidth="1"/>
    <col min="5" max="5" width="17.7109375" bestFit="1" customWidth="1"/>
    <col min="6" max="6" width="27.5703125" bestFit="1" customWidth="1"/>
    <col min="7" max="7" width="34.28515625" bestFit="1" customWidth="1"/>
    <col min="10" max="10" width="51.7109375" customWidth="1"/>
    <col min="11" max="13" width="9.85546875" bestFit="1" customWidth="1"/>
    <col min="14" max="24" width="9.28515625" bestFit="1" customWidth="1"/>
    <col min="25" max="31" width="9.85546875" bestFit="1" customWidth="1"/>
    <col min="32" max="38" width="9.28515625" bestFit="1" customWidth="1"/>
  </cols>
  <sheetData>
    <row r="1" spans="1:38" ht="42.75" x14ac:dyDescent="0.25">
      <c r="A1" s="197" t="s">
        <v>493</v>
      </c>
      <c r="B1" s="198" t="s">
        <v>494</v>
      </c>
      <c r="C1" s="199" t="s">
        <v>495</v>
      </c>
      <c r="D1" s="200" t="s">
        <v>496</v>
      </c>
      <c r="E1" s="200" t="s">
        <v>497</v>
      </c>
      <c r="F1" s="200" t="s">
        <v>498</v>
      </c>
      <c r="G1" s="201" t="s">
        <v>499</v>
      </c>
      <c r="J1" s="884" t="s">
        <v>494</v>
      </c>
      <c r="K1" s="392" t="s">
        <v>38</v>
      </c>
      <c r="L1" s="392" t="s">
        <v>39</v>
      </c>
      <c r="M1" s="392" t="s">
        <v>40</v>
      </c>
      <c r="N1" s="392" t="s">
        <v>41</v>
      </c>
      <c r="O1" s="392" t="s">
        <v>42</v>
      </c>
      <c r="P1" s="392" t="s">
        <v>43</v>
      </c>
      <c r="Q1" s="392" t="s">
        <v>44</v>
      </c>
      <c r="R1" s="392" t="s">
        <v>38</v>
      </c>
      <c r="S1" s="392" t="s">
        <v>39</v>
      </c>
      <c r="T1" s="392" t="s">
        <v>40</v>
      </c>
      <c r="U1" s="392" t="s">
        <v>41</v>
      </c>
      <c r="V1" s="392" t="s">
        <v>42</v>
      </c>
      <c r="W1" s="392" t="s">
        <v>43</v>
      </c>
      <c r="X1" s="392" t="s">
        <v>44</v>
      </c>
      <c r="Y1" s="392" t="s">
        <v>38</v>
      </c>
      <c r="Z1" s="392" t="s">
        <v>39</v>
      </c>
      <c r="AA1" s="392" t="s">
        <v>40</v>
      </c>
      <c r="AB1" s="392" t="s">
        <v>41</v>
      </c>
      <c r="AC1" s="392" t="s">
        <v>42</v>
      </c>
      <c r="AD1" s="392" t="s">
        <v>43</v>
      </c>
      <c r="AE1" s="392" t="s">
        <v>44</v>
      </c>
      <c r="AF1" s="392" t="s">
        <v>38</v>
      </c>
      <c r="AG1" s="392" t="s">
        <v>39</v>
      </c>
      <c r="AH1" s="392" t="s">
        <v>40</v>
      </c>
      <c r="AI1" s="392" t="s">
        <v>41</v>
      </c>
      <c r="AJ1" s="392" t="s">
        <v>42</v>
      </c>
      <c r="AK1" s="392" t="s">
        <v>43</v>
      </c>
      <c r="AL1" s="392" t="s">
        <v>44</v>
      </c>
    </row>
    <row r="2" spans="1:38" ht="15.75" x14ac:dyDescent="0.25">
      <c r="A2" s="202">
        <v>1</v>
      </c>
      <c r="B2" s="203" t="s">
        <v>413</v>
      </c>
      <c r="C2" s="204">
        <v>15649</v>
      </c>
      <c r="D2" s="205">
        <v>8283</v>
      </c>
      <c r="E2" s="205">
        <v>388</v>
      </c>
      <c r="F2" s="205">
        <v>5200</v>
      </c>
      <c r="G2" s="206">
        <v>7586</v>
      </c>
      <c r="J2" s="885"/>
      <c r="K2" s="392">
        <v>7</v>
      </c>
      <c r="L2" s="392">
        <v>7</v>
      </c>
      <c r="M2" s="392">
        <v>7</v>
      </c>
      <c r="N2" s="392">
        <v>7</v>
      </c>
      <c r="O2" s="392">
        <v>7</v>
      </c>
      <c r="P2" s="392">
        <v>7</v>
      </c>
      <c r="Q2" s="392">
        <v>7</v>
      </c>
      <c r="R2" s="102">
        <v>8</v>
      </c>
      <c r="S2" s="102">
        <v>8</v>
      </c>
      <c r="T2" s="102">
        <v>8</v>
      </c>
      <c r="U2" s="102">
        <v>8</v>
      </c>
      <c r="V2" s="102">
        <v>8</v>
      </c>
      <c r="W2" s="102">
        <v>8</v>
      </c>
      <c r="X2" s="102">
        <v>8</v>
      </c>
      <c r="Y2" s="392">
        <v>11</v>
      </c>
      <c r="Z2" s="392">
        <v>11</v>
      </c>
      <c r="AA2" s="392">
        <v>11</v>
      </c>
      <c r="AB2" s="392">
        <v>11</v>
      </c>
      <c r="AC2" s="392">
        <v>11</v>
      </c>
      <c r="AD2" s="392">
        <v>11</v>
      </c>
      <c r="AE2" s="392">
        <v>11</v>
      </c>
      <c r="AF2" s="102">
        <v>12</v>
      </c>
      <c r="AG2" s="102">
        <v>12</v>
      </c>
      <c r="AH2" s="102">
        <v>12</v>
      </c>
      <c r="AI2" s="102">
        <v>12</v>
      </c>
      <c r="AJ2" s="102">
        <v>12</v>
      </c>
      <c r="AK2" s="102">
        <v>12</v>
      </c>
      <c r="AL2" s="102">
        <v>12</v>
      </c>
    </row>
    <row r="3" spans="1:38" ht="18.75" x14ac:dyDescent="0.25">
      <c r="A3" s="202">
        <v>2</v>
      </c>
      <c r="B3" s="207" t="s">
        <v>414</v>
      </c>
      <c r="C3" s="204">
        <v>24471</v>
      </c>
      <c r="D3" s="205">
        <v>13059</v>
      </c>
      <c r="E3" s="205">
        <v>625</v>
      </c>
      <c r="F3" s="205">
        <v>8226</v>
      </c>
      <c r="G3" s="206">
        <v>13035</v>
      </c>
      <c r="J3" s="203" t="s">
        <v>413</v>
      </c>
      <c r="K3" s="393">
        <v>7851</v>
      </c>
      <c r="L3" s="393">
        <v>3261</v>
      </c>
      <c r="M3" s="393">
        <v>7239</v>
      </c>
      <c r="N3" s="393">
        <v>2283</v>
      </c>
      <c r="O3" s="393">
        <v>2230</v>
      </c>
      <c r="P3" s="393">
        <v>3190</v>
      </c>
      <c r="Q3" s="393">
        <v>2984</v>
      </c>
      <c r="R3" s="394">
        <v>2994</v>
      </c>
      <c r="S3" s="394">
        <v>3065</v>
      </c>
      <c r="T3" s="394">
        <v>1150</v>
      </c>
      <c r="U3" s="394">
        <v>729</v>
      </c>
      <c r="V3" s="394">
        <v>732</v>
      </c>
      <c r="W3" s="394">
        <v>1883</v>
      </c>
      <c r="X3" s="394">
        <v>446</v>
      </c>
      <c r="Y3" s="395">
        <v>8493</v>
      </c>
      <c r="Z3" s="395">
        <v>3846</v>
      </c>
      <c r="AA3" s="395">
        <v>9547</v>
      </c>
      <c r="AB3" s="395">
        <v>3041</v>
      </c>
      <c r="AC3" s="395">
        <v>3167</v>
      </c>
      <c r="AD3" s="395">
        <v>5862</v>
      </c>
      <c r="AE3" s="395">
        <v>5891</v>
      </c>
      <c r="AF3" s="396">
        <v>3180</v>
      </c>
      <c r="AG3" s="396">
        <v>3198</v>
      </c>
      <c r="AH3" s="396">
        <v>1365</v>
      </c>
      <c r="AI3" s="396">
        <v>793</v>
      </c>
      <c r="AJ3" s="396">
        <v>829</v>
      </c>
      <c r="AK3" s="396">
        <v>2324</v>
      </c>
      <c r="AL3" s="396">
        <v>547</v>
      </c>
    </row>
    <row r="4" spans="1:38" ht="18.75" x14ac:dyDescent="0.25">
      <c r="A4" s="202">
        <v>3</v>
      </c>
      <c r="B4" s="207" t="s">
        <v>415</v>
      </c>
      <c r="C4" s="204">
        <v>9121</v>
      </c>
      <c r="D4" s="205">
        <v>4834</v>
      </c>
      <c r="E4" s="205">
        <v>241</v>
      </c>
      <c r="F4" s="205">
        <v>2940</v>
      </c>
      <c r="G4" s="206">
        <v>4833</v>
      </c>
      <c r="J4" s="207" t="s">
        <v>414</v>
      </c>
      <c r="K4" s="397">
        <v>44316</v>
      </c>
      <c r="L4" s="397">
        <v>3693</v>
      </c>
      <c r="M4" s="397">
        <v>4308</v>
      </c>
      <c r="N4" s="397">
        <v>616</v>
      </c>
      <c r="O4" s="397">
        <v>1231</v>
      </c>
      <c r="P4" s="397">
        <v>2462</v>
      </c>
      <c r="Q4" s="397">
        <v>4924</v>
      </c>
      <c r="R4" s="398">
        <v>12962</v>
      </c>
      <c r="S4" s="398">
        <v>1080</v>
      </c>
      <c r="T4" s="398">
        <v>1260</v>
      </c>
      <c r="U4" s="398">
        <v>181</v>
      </c>
      <c r="V4" s="398">
        <v>360</v>
      </c>
      <c r="W4" s="398">
        <v>720</v>
      </c>
      <c r="X4" s="398">
        <v>1440</v>
      </c>
      <c r="Y4" s="399">
        <v>47509</v>
      </c>
      <c r="Z4" s="399">
        <v>3959</v>
      </c>
      <c r="AA4" s="399">
        <v>4619</v>
      </c>
      <c r="AB4" s="399">
        <v>662</v>
      </c>
      <c r="AC4" s="399">
        <v>1319</v>
      </c>
      <c r="AD4" s="399">
        <v>2639</v>
      </c>
      <c r="AE4" s="399">
        <v>5279</v>
      </c>
      <c r="AF4" s="400">
        <v>14042</v>
      </c>
      <c r="AG4" s="400">
        <v>1170</v>
      </c>
      <c r="AH4" s="400">
        <v>1365</v>
      </c>
      <c r="AI4" s="400">
        <v>196</v>
      </c>
      <c r="AJ4" s="400">
        <v>390</v>
      </c>
      <c r="AK4" s="400">
        <v>780</v>
      </c>
      <c r="AL4" s="400">
        <v>1560</v>
      </c>
    </row>
    <row r="5" spans="1:38" ht="18.75" x14ac:dyDescent="0.25">
      <c r="A5" s="202">
        <v>4</v>
      </c>
      <c r="B5" s="207" t="s">
        <v>416</v>
      </c>
      <c r="C5" s="204">
        <v>16353</v>
      </c>
      <c r="D5" s="205">
        <v>8779</v>
      </c>
      <c r="E5" s="205">
        <v>423</v>
      </c>
      <c r="F5" s="205">
        <v>5422</v>
      </c>
      <c r="G5" s="206">
        <v>8476</v>
      </c>
      <c r="J5" s="207" t="s">
        <v>415</v>
      </c>
      <c r="K5" s="397">
        <v>6200</v>
      </c>
      <c r="L5" s="397">
        <v>1900</v>
      </c>
      <c r="M5" s="397">
        <v>2832</v>
      </c>
      <c r="N5" s="397">
        <v>1900</v>
      </c>
      <c r="O5" s="397">
        <v>1920</v>
      </c>
      <c r="P5" s="397">
        <v>1544</v>
      </c>
      <c r="Q5" s="397">
        <v>1090</v>
      </c>
      <c r="R5" s="398">
        <v>2100</v>
      </c>
      <c r="S5" s="398">
        <v>645</v>
      </c>
      <c r="T5" s="398">
        <v>980</v>
      </c>
      <c r="U5" s="398">
        <v>700</v>
      </c>
      <c r="V5" s="398">
        <v>675</v>
      </c>
      <c r="W5" s="398">
        <v>550</v>
      </c>
      <c r="X5" s="398">
        <v>320</v>
      </c>
      <c r="Y5" s="399">
        <v>6700</v>
      </c>
      <c r="Z5" s="399">
        <v>1750</v>
      </c>
      <c r="AA5" s="399">
        <v>3930</v>
      </c>
      <c r="AB5" s="399">
        <v>2186</v>
      </c>
      <c r="AC5" s="399">
        <v>2000</v>
      </c>
      <c r="AD5" s="399">
        <v>3600</v>
      </c>
      <c r="AE5" s="399">
        <v>1634</v>
      </c>
      <c r="AF5" s="400">
        <v>2300</v>
      </c>
      <c r="AG5" s="400">
        <v>610</v>
      </c>
      <c r="AH5" s="400">
        <v>1450</v>
      </c>
      <c r="AI5" s="400">
        <v>780</v>
      </c>
      <c r="AJ5" s="400">
        <v>700</v>
      </c>
      <c r="AK5" s="400">
        <v>1350</v>
      </c>
      <c r="AL5" s="400">
        <v>794</v>
      </c>
    </row>
    <row r="6" spans="1:38" ht="18.75" x14ac:dyDescent="0.25">
      <c r="A6" s="202">
        <v>5</v>
      </c>
      <c r="B6" s="207" t="s">
        <v>417</v>
      </c>
      <c r="C6" s="204">
        <v>8254</v>
      </c>
      <c r="D6" s="205">
        <v>4221</v>
      </c>
      <c r="E6" s="205">
        <v>197</v>
      </c>
      <c r="F6" s="205">
        <v>2580</v>
      </c>
      <c r="G6" s="206">
        <v>4106</v>
      </c>
      <c r="J6" s="207" t="s">
        <v>416</v>
      </c>
      <c r="K6" s="397">
        <v>7902</v>
      </c>
      <c r="L6" s="397">
        <v>3490</v>
      </c>
      <c r="M6" s="397">
        <v>7790</v>
      </c>
      <c r="N6" s="397">
        <v>2450</v>
      </c>
      <c r="O6" s="397">
        <v>2424</v>
      </c>
      <c r="P6" s="397">
        <v>3481</v>
      </c>
      <c r="Q6" s="397">
        <v>1978</v>
      </c>
      <c r="R6" s="398">
        <v>3228</v>
      </c>
      <c r="S6" s="398">
        <v>2156</v>
      </c>
      <c r="T6" s="398">
        <v>2116</v>
      </c>
      <c r="U6" s="398">
        <v>943</v>
      </c>
      <c r="V6" s="398">
        <v>936</v>
      </c>
      <c r="W6" s="398">
        <v>1246</v>
      </c>
      <c r="X6" s="398">
        <v>845</v>
      </c>
      <c r="Y6" s="399">
        <v>11481</v>
      </c>
      <c r="Z6" s="399">
        <v>4371</v>
      </c>
      <c r="AA6" s="399">
        <v>9324</v>
      </c>
      <c r="AB6" s="399">
        <v>3063</v>
      </c>
      <c r="AC6" s="399">
        <v>4256</v>
      </c>
      <c r="AD6" s="399">
        <v>6271</v>
      </c>
      <c r="AE6" s="399">
        <v>5346</v>
      </c>
      <c r="AF6" s="400">
        <v>3686</v>
      </c>
      <c r="AG6" s="400">
        <v>2412</v>
      </c>
      <c r="AH6" s="400">
        <v>2452</v>
      </c>
      <c r="AI6" s="400">
        <v>1167</v>
      </c>
      <c r="AJ6" s="400">
        <v>1318</v>
      </c>
      <c r="AK6" s="400">
        <v>1194</v>
      </c>
      <c r="AL6" s="400">
        <v>1130</v>
      </c>
    </row>
    <row r="7" spans="1:38" ht="18.75" x14ac:dyDescent="0.25">
      <c r="A7" s="202">
        <v>6</v>
      </c>
      <c r="B7" s="207" t="s">
        <v>418</v>
      </c>
      <c r="C7" s="204">
        <v>8404</v>
      </c>
      <c r="D7" s="205">
        <v>4388</v>
      </c>
      <c r="E7" s="205">
        <v>206</v>
      </c>
      <c r="F7" s="205">
        <v>2795</v>
      </c>
      <c r="G7" s="206">
        <v>4051</v>
      </c>
      <c r="J7" s="207" t="s">
        <v>417</v>
      </c>
      <c r="K7" s="397">
        <v>4370</v>
      </c>
      <c r="L7" s="397">
        <v>1720</v>
      </c>
      <c r="M7" s="397">
        <v>4873</v>
      </c>
      <c r="N7" s="397">
        <v>1823</v>
      </c>
      <c r="O7" s="397">
        <v>1245</v>
      </c>
      <c r="P7" s="397">
        <v>753</v>
      </c>
      <c r="Q7" s="397">
        <v>1807</v>
      </c>
      <c r="R7" s="398">
        <v>1805</v>
      </c>
      <c r="S7" s="398">
        <v>932</v>
      </c>
      <c r="T7" s="398">
        <v>928</v>
      </c>
      <c r="U7" s="398">
        <v>401</v>
      </c>
      <c r="V7" s="398">
        <v>418</v>
      </c>
      <c r="W7" s="398">
        <v>505</v>
      </c>
      <c r="X7" s="398">
        <v>698</v>
      </c>
      <c r="Y7" s="399">
        <v>4776</v>
      </c>
      <c r="Z7" s="399">
        <v>1937</v>
      </c>
      <c r="AA7" s="399">
        <v>5793</v>
      </c>
      <c r="AB7" s="399">
        <v>2278</v>
      </c>
      <c r="AC7" s="399">
        <v>1732</v>
      </c>
      <c r="AD7" s="399">
        <v>1124</v>
      </c>
      <c r="AE7" s="399">
        <v>3124</v>
      </c>
      <c r="AF7" s="400">
        <v>1938</v>
      </c>
      <c r="AG7" s="400">
        <v>1004</v>
      </c>
      <c r="AH7" s="400">
        <v>1131</v>
      </c>
      <c r="AI7" s="400">
        <v>645</v>
      </c>
      <c r="AJ7" s="400">
        <v>381</v>
      </c>
      <c r="AK7" s="400">
        <v>887</v>
      </c>
      <c r="AL7" s="400">
        <v>687</v>
      </c>
    </row>
    <row r="8" spans="1:38" ht="18.75" x14ac:dyDescent="0.25">
      <c r="A8" s="202">
        <v>7</v>
      </c>
      <c r="B8" s="207" t="s">
        <v>419</v>
      </c>
      <c r="C8" s="204">
        <v>9074</v>
      </c>
      <c r="D8" s="205">
        <v>5145</v>
      </c>
      <c r="E8" s="205">
        <v>248</v>
      </c>
      <c r="F8" s="205">
        <v>3344</v>
      </c>
      <c r="G8" s="206">
        <v>3729</v>
      </c>
      <c r="J8" s="207" t="s">
        <v>418</v>
      </c>
      <c r="K8" s="397">
        <v>2256</v>
      </c>
      <c r="L8" s="397">
        <v>3102</v>
      </c>
      <c r="M8" s="397">
        <v>4095</v>
      </c>
      <c r="N8" s="397">
        <v>3472</v>
      </c>
      <c r="O8" s="397">
        <v>1738</v>
      </c>
      <c r="P8" s="397">
        <v>1175</v>
      </c>
      <c r="Q8" s="397">
        <v>233</v>
      </c>
      <c r="R8" s="398">
        <v>845</v>
      </c>
      <c r="S8" s="398">
        <v>1060</v>
      </c>
      <c r="T8" s="398">
        <v>1337</v>
      </c>
      <c r="U8" s="398">
        <v>1160</v>
      </c>
      <c r="V8" s="398">
        <v>600</v>
      </c>
      <c r="W8" s="398">
        <v>408</v>
      </c>
      <c r="X8" s="398">
        <v>70</v>
      </c>
      <c r="Y8" s="399">
        <v>2872</v>
      </c>
      <c r="Z8" s="399">
        <v>3950</v>
      </c>
      <c r="AA8" s="399">
        <v>5212</v>
      </c>
      <c r="AB8" s="399">
        <v>4419</v>
      </c>
      <c r="AC8" s="399">
        <v>2212</v>
      </c>
      <c r="AD8" s="399">
        <v>1294</v>
      </c>
      <c r="AE8" s="399">
        <v>298</v>
      </c>
      <c r="AF8" s="400">
        <v>1000</v>
      </c>
      <c r="AG8" s="400">
        <v>1360</v>
      </c>
      <c r="AH8" s="400">
        <v>1845</v>
      </c>
      <c r="AI8" s="400">
        <v>1470</v>
      </c>
      <c r="AJ8" s="400">
        <v>750</v>
      </c>
      <c r="AK8" s="400">
        <v>450</v>
      </c>
      <c r="AL8" s="400">
        <v>100</v>
      </c>
    </row>
    <row r="9" spans="1:38" ht="18.75" x14ac:dyDescent="0.25">
      <c r="A9" s="202">
        <v>8</v>
      </c>
      <c r="B9" s="207" t="s">
        <v>420</v>
      </c>
      <c r="C9" s="204">
        <v>6620</v>
      </c>
      <c r="D9" s="205">
        <v>3594</v>
      </c>
      <c r="E9" s="205">
        <v>140</v>
      </c>
      <c r="F9" s="205">
        <v>2376</v>
      </c>
      <c r="G9" s="206">
        <v>3132</v>
      </c>
      <c r="J9" s="207" t="s">
        <v>419</v>
      </c>
      <c r="K9" s="397">
        <v>7013</v>
      </c>
      <c r="L9" s="397">
        <v>1614</v>
      </c>
      <c r="M9" s="397">
        <v>3902</v>
      </c>
      <c r="N9" s="397">
        <v>860</v>
      </c>
      <c r="O9" s="397">
        <v>1206</v>
      </c>
      <c r="P9" s="397">
        <v>1418</v>
      </c>
      <c r="Q9" s="397">
        <v>1506</v>
      </c>
      <c r="R9" s="398">
        <v>1660</v>
      </c>
      <c r="S9" s="398">
        <v>750</v>
      </c>
      <c r="T9" s="398">
        <v>950</v>
      </c>
      <c r="U9" s="398">
        <v>320</v>
      </c>
      <c r="V9" s="398">
        <v>450</v>
      </c>
      <c r="W9" s="398">
        <v>1100</v>
      </c>
      <c r="X9" s="398">
        <v>800</v>
      </c>
      <c r="Y9" s="399">
        <v>9480</v>
      </c>
      <c r="Z9" s="399">
        <v>1930</v>
      </c>
      <c r="AA9" s="399">
        <v>5152</v>
      </c>
      <c r="AB9" s="399">
        <v>1297</v>
      </c>
      <c r="AC9" s="399">
        <v>1643</v>
      </c>
      <c r="AD9" s="399">
        <v>1926</v>
      </c>
      <c r="AE9" s="399">
        <v>2053</v>
      </c>
      <c r="AF9" s="400">
        <v>1737</v>
      </c>
      <c r="AG9" s="400">
        <v>861</v>
      </c>
      <c r="AH9" s="400">
        <v>1000</v>
      </c>
      <c r="AI9" s="400">
        <v>380</v>
      </c>
      <c r="AJ9" s="400">
        <v>520</v>
      </c>
      <c r="AK9" s="400">
        <v>1378</v>
      </c>
      <c r="AL9" s="400">
        <v>897</v>
      </c>
    </row>
    <row r="10" spans="1:38" ht="18.75" x14ac:dyDescent="0.25">
      <c r="A10" s="202">
        <v>9</v>
      </c>
      <c r="B10" s="207" t="s">
        <v>421</v>
      </c>
      <c r="C10" s="204">
        <v>29925</v>
      </c>
      <c r="D10" s="205">
        <v>16276</v>
      </c>
      <c r="E10" s="205">
        <v>761</v>
      </c>
      <c r="F10" s="205">
        <v>10251</v>
      </c>
      <c r="G10" s="206">
        <v>13931</v>
      </c>
      <c r="J10" s="207" t="s">
        <v>420</v>
      </c>
      <c r="K10" s="397">
        <v>3115</v>
      </c>
      <c r="L10" s="397">
        <v>693</v>
      </c>
      <c r="M10" s="397">
        <v>3209</v>
      </c>
      <c r="N10" s="397">
        <v>1985</v>
      </c>
      <c r="O10" s="397">
        <v>2094</v>
      </c>
      <c r="P10" s="397">
        <v>2412</v>
      </c>
      <c r="Q10" s="397">
        <v>1041</v>
      </c>
      <c r="R10" s="398">
        <v>989</v>
      </c>
      <c r="S10" s="398">
        <v>208</v>
      </c>
      <c r="T10" s="398">
        <v>932</v>
      </c>
      <c r="U10" s="398">
        <v>745</v>
      </c>
      <c r="V10" s="398">
        <v>701</v>
      </c>
      <c r="W10" s="398">
        <v>840</v>
      </c>
      <c r="X10" s="398">
        <v>253</v>
      </c>
      <c r="Y10" s="399">
        <v>3045</v>
      </c>
      <c r="Z10" s="399">
        <v>639</v>
      </c>
      <c r="AA10" s="399">
        <v>3075</v>
      </c>
      <c r="AB10" s="399">
        <v>1705</v>
      </c>
      <c r="AC10" s="399">
        <v>2118</v>
      </c>
      <c r="AD10" s="399">
        <v>2508</v>
      </c>
      <c r="AE10" s="399">
        <v>1205</v>
      </c>
      <c r="AF10" s="400">
        <v>894</v>
      </c>
      <c r="AG10" s="400">
        <v>215</v>
      </c>
      <c r="AH10" s="400">
        <v>1115</v>
      </c>
      <c r="AI10" s="400">
        <v>984</v>
      </c>
      <c r="AJ10" s="400">
        <v>735</v>
      </c>
      <c r="AK10" s="400">
        <v>875</v>
      </c>
      <c r="AL10" s="400">
        <v>266</v>
      </c>
    </row>
    <row r="11" spans="1:38" ht="18.75" x14ac:dyDescent="0.25">
      <c r="A11" s="202">
        <v>10</v>
      </c>
      <c r="B11" s="207" t="s">
        <v>422</v>
      </c>
      <c r="C11" s="204">
        <v>8521</v>
      </c>
      <c r="D11" s="205">
        <v>4215</v>
      </c>
      <c r="E11" s="205">
        <v>193</v>
      </c>
      <c r="F11" s="205">
        <v>2585</v>
      </c>
      <c r="G11" s="206">
        <v>4685</v>
      </c>
      <c r="J11" s="207" t="s">
        <v>421</v>
      </c>
      <c r="K11" s="397">
        <v>5986</v>
      </c>
      <c r="L11" s="397">
        <v>5368</v>
      </c>
      <c r="M11" s="397">
        <v>16334</v>
      </c>
      <c r="N11" s="397">
        <v>6776</v>
      </c>
      <c r="O11" s="397">
        <v>7904</v>
      </c>
      <c r="P11" s="397">
        <v>8177</v>
      </c>
      <c r="Q11" s="397">
        <v>6375</v>
      </c>
      <c r="R11" s="398">
        <v>2275</v>
      </c>
      <c r="S11" s="398">
        <v>2147</v>
      </c>
      <c r="T11" s="398">
        <v>5534</v>
      </c>
      <c r="U11" s="398">
        <v>2710</v>
      </c>
      <c r="V11" s="398">
        <v>2162</v>
      </c>
      <c r="W11" s="398">
        <v>3271</v>
      </c>
      <c r="X11" s="398">
        <v>2550</v>
      </c>
      <c r="Y11" s="399">
        <v>6152</v>
      </c>
      <c r="Z11" s="399">
        <v>5510</v>
      </c>
      <c r="AA11" s="399">
        <v>19320</v>
      </c>
      <c r="AB11" s="399">
        <v>6963</v>
      </c>
      <c r="AC11" s="399">
        <v>8121</v>
      </c>
      <c r="AD11" s="399">
        <v>12614</v>
      </c>
      <c r="AE11" s="399">
        <v>10855</v>
      </c>
      <c r="AF11" s="400">
        <v>2461</v>
      </c>
      <c r="AG11" s="400">
        <v>2204</v>
      </c>
      <c r="AH11" s="400">
        <v>5728</v>
      </c>
      <c r="AI11" s="400">
        <v>2785</v>
      </c>
      <c r="AJ11" s="400">
        <v>2248</v>
      </c>
      <c r="AK11" s="400">
        <v>4046</v>
      </c>
      <c r="AL11" s="400">
        <v>3735</v>
      </c>
    </row>
    <row r="12" spans="1:38" ht="18.75" x14ac:dyDescent="0.25">
      <c r="A12" s="202">
        <v>11</v>
      </c>
      <c r="B12" s="207" t="s">
        <v>423</v>
      </c>
      <c r="C12" s="204">
        <v>8845</v>
      </c>
      <c r="D12" s="205">
        <v>4682</v>
      </c>
      <c r="E12" s="205">
        <v>241</v>
      </c>
      <c r="F12" s="205">
        <v>2800</v>
      </c>
      <c r="G12" s="206">
        <v>4886</v>
      </c>
      <c r="J12" s="207" t="s">
        <v>422</v>
      </c>
      <c r="K12" s="397">
        <v>2078</v>
      </c>
      <c r="L12" s="397">
        <v>2270</v>
      </c>
      <c r="M12" s="397">
        <v>2540</v>
      </c>
      <c r="N12" s="397">
        <v>2532</v>
      </c>
      <c r="O12" s="397">
        <v>1095</v>
      </c>
      <c r="P12" s="397">
        <v>1030</v>
      </c>
      <c r="Q12" s="397">
        <v>1012</v>
      </c>
      <c r="R12" s="398">
        <v>955</v>
      </c>
      <c r="S12" s="398">
        <v>934</v>
      </c>
      <c r="T12" s="398">
        <v>912</v>
      </c>
      <c r="U12" s="398">
        <v>794</v>
      </c>
      <c r="V12" s="398">
        <v>583</v>
      </c>
      <c r="W12" s="398">
        <v>562</v>
      </c>
      <c r="X12" s="398">
        <v>510</v>
      </c>
      <c r="Y12" s="399">
        <v>2686</v>
      </c>
      <c r="Z12" s="399">
        <v>2575</v>
      </c>
      <c r="AA12" s="399">
        <v>3450</v>
      </c>
      <c r="AB12" s="399">
        <v>3472</v>
      </c>
      <c r="AC12" s="399">
        <v>2514</v>
      </c>
      <c r="AD12" s="399">
        <v>2361</v>
      </c>
      <c r="AE12" s="399">
        <v>2313</v>
      </c>
      <c r="AF12" s="400">
        <v>1895</v>
      </c>
      <c r="AG12" s="400">
        <v>1775</v>
      </c>
      <c r="AH12" s="400">
        <v>1726</v>
      </c>
      <c r="AI12" s="400">
        <v>695</v>
      </c>
      <c r="AJ12" s="400">
        <v>641</v>
      </c>
      <c r="AK12" s="400">
        <v>631</v>
      </c>
      <c r="AL12" s="400">
        <v>593</v>
      </c>
    </row>
    <row r="13" spans="1:38" ht="18.75" x14ac:dyDescent="0.25">
      <c r="A13" s="202">
        <v>12</v>
      </c>
      <c r="B13" s="207" t="s">
        <v>424</v>
      </c>
      <c r="C13" s="204">
        <v>23888</v>
      </c>
      <c r="D13" s="205">
        <v>12932</v>
      </c>
      <c r="E13" s="205">
        <v>678</v>
      </c>
      <c r="F13" s="205">
        <v>8037</v>
      </c>
      <c r="G13" s="206">
        <v>10959</v>
      </c>
      <c r="J13" s="207" t="s">
        <v>423</v>
      </c>
      <c r="K13" s="397">
        <v>3795</v>
      </c>
      <c r="L13" s="397">
        <v>2128</v>
      </c>
      <c r="M13" s="397">
        <v>4012</v>
      </c>
      <c r="N13" s="397">
        <v>2981</v>
      </c>
      <c r="O13" s="397">
        <v>4302</v>
      </c>
      <c r="P13" s="397">
        <v>1903</v>
      </c>
      <c r="Q13" s="397">
        <v>409</v>
      </c>
      <c r="R13" s="398">
        <v>1190</v>
      </c>
      <c r="S13" s="398">
        <v>715</v>
      </c>
      <c r="T13" s="398">
        <v>1221</v>
      </c>
      <c r="U13" s="398">
        <v>995</v>
      </c>
      <c r="V13" s="398">
        <v>1280</v>
      </c>
      <c r="W13" s="398">
        <v>616</v>
      </c>
      <c r="X13" s="398">
        <v>139</v>
      </c>
      <c r="Y13" s="399">
        <v>3415</v>
      </c>
      <c r="Z13" s="399">
        <v>4107</v>
      </c>
      <c r="AA13" s="399">
        <v>5416</v>
      </c>
      <c r="AB13" s="399">
        <v>4376</v>
      </c>
      <c r="AC13" s="399">
        <v>3905</v>
      </c>
      <c r="AD13" s="399">
        <v>2172</v>
      </c>
      <c r="AE13" s="399">
        <v>607</v>
      </c>
      <c r="AF13" s="400">
        <v>1098</v>
      </c>
      <c r="AG13" s="400">
        <v>1293</v>
      </c>
      <c r="AH13" s="400">
        <v>1714</v>
      </c>
      <c r="AI13" s="400">
        <v>1290</v>
      </c>
      <c r="AJ13" s="400">
        <v>1127</v>
      </c>
      <c r="AK13" s="400">
        <v>808</v>
      </c>
      <c r="AL13" s="400">
        <v>245</v>
      </c>
    </row>
    <row r="14" spans="1:38" ht="18.75" x14ac:dyDescent="0.25">
      <c r="A14" s="202">
        <v>13</v>
      </c>
      <c r="B14" s="207" t="s">
        <v>426</v>
      </c>
      <c r="C14" s="204">
        <v>15697</v>
      </c>
      <c r="D14" s="205">
        <v>8384</v>
      </c>
      <c r="E14" s="205">
        <v>353</v>
      </c>
      <c r="F14" s="205">
        <v>5650</v>
      </c>
      <c r="G14" s="206">
        <v>7726</v>
      </c>
      <c r="J14" s="207" t="s">
        <v>424</v>
      </c>
      <c r="K14" s="397">
        <v>16891</v>
      </c>
      <c r="L14" s="397">
        <v>4646</v>
      </c>
      <c r="M14" s="397">
        <v>10842</v>
      </c>
      <c r="N14" s="397">
        <v>6437</v>
      </c>
      <c r="O14" s="397">
        <v>5064</v>
      </c>
      <c r="P14" s="397">
        <v>4593</v>
      </c>
      <c r="Q14" s="397">
        <v>2414</v>
      </c>
      <c r="R14" s="398">
        <v>3380</v>
      </c>
      <c r="S14" s="398">
        <v>1064</v>
      </c>
      <c r="T14" s="398">
        <v>2885</v>
      </c>
      <c r="U14" s="398">
        <v>3543</v>
      </c>
      <c r="V14" s="398">
        <v>3104</v>
      </c>
      <c r="W14" s="398">
        <v>1656</v>
      </c>
      <c r="X14" s="398">
        <v>300</v>
      </c>
      <c r="Y14" s="399">
        <v>14551</v>
      </c>
      <c r="Z14" s="399">
        <v>4891</v>
      </c>
      <c r="AA14" s="399">
        <v>11449</v>
      </c>
      <c r="AB14" s="399">
        <v>7425</v>
      </c>
      <c r="AC14" s="399">
        <v>7048</v>
      </c>
      <c r="AD14" s="399">
        <v>8519</v>
      </c>
      <c r="AE14" s="399">
        <v>6527</v>
      </c>
      <c r="AF14" s="400">
        <v>3146</v>
      </c>
      <c r="AG14" s="400">
        <v>1321</v>
      </c>
      <c r="AH14" s="400">
        <v>4234</v>
      </c>
      <c r="AI14" s="400">
        <v>2947</v>
      </c>
      <c r="AJ14" s="400">
        <v>3750</v>
      </c>
      <c r="AK14" s="400">
        <v>2914</v>
      </c>
      <c r="AL14" s="400">
        <v>603</v>
      </c>
    </row>
    <row r="15" spans="1:38" ht="18.75" x14ac:dyDescent="0.25">
      <c r="A15" s="202">
        <v>14</v>
      </c>
      <c r="B15" s="207" t="s">
        <v>427</v>
      </c>
      <c r="C15" s="204">
        <v>15086</v>
      </c>
      <c r="D15" s="205">
        <v>7943</v>
      </c>
      <c r="E15" s="205">
        <v>347</v>
      </c>
      <c r="F15" s="205">
        <v>4946</v>
      </c>
      <c r="G15" s="206">
        <v>7040</v>
      </c>
      <c r="J15" s="207" t="s">
        <v>426</v>
      </c>
      <c r="K15" s="397">
        <v>4201</v>
      </c>
      <c r="L15" s="397">
        <v>3333</v>
      </c>
      <c r="M15" s="397">
        <v>3774</v>
      </c>
      <c r="N15" s="397">
        <v>3896</v>
      </c>
      <c r="O15" s="397">
        <v>1668</v>
      </c>
      <c r="P15" s="397">
        <v>2486</v>
      </c>
      <c r="Q15" s="397">
        <v>3526</v>
      </c>
      <c r="R15" s="398">
        <v>2768</v>
      </c>
      <c r="S15" s="398">
        <v>653</v>
      </c>
      <c r="T15" s="398">
        <v>1684</v>
      </c>
      <c r="U15" s="398">
        <v>302</v>
      </c>
      <c r="V15" s="398">
        <v>493</v>
      </c>
      <c r="W15" s="398">
        <v>1374</v>
      </c>
      <c r="X15" s="398">
        <v>628</v>
      </c>
      <c r="Y15" s="399">
        <v>8401</v>
      </c>
      <c r="Z15" s="399">
        <v>6667</v>
      </c>
      <c r="AA15" s="399">
        <v>7548</v>
      </c>
      <c r="AB15" s="399">
        <v>7792</v>
      </c>
      <c r="AC15" s="399">
        <v>3336</v>
      </c>
      <c r="AD15" s="399">
        <v>4970</v>
      </c>
      <c r="AE15" s="399">
        <v>7050</v>
      </c>
      <c r="AF15" s="400">
        <v>5262</v>
      </c>
      <c r="AG15" s="400">
        <v>1303</v>
      </c>
      <c r="AH15" s="400">
        <v>3368</v>
      </c>
      <c r="AI15" s="400">
        <v>697</v>
      </c>
      <c r="AJ15" s="400">
        <v>890</v>
      </c>
      <c r="AK15" s="400">
        <v>2746</v>
      </c>
      <c r="AL15" s="400">
        <v>1255</v>
      </c>
    </row>
    <row r="16" spans="1:38" ht="18.75" x14ac:dyDescent="0.25">
      <c r="A16" s="202">
        <v>15</v>
      </c>
      <c r="B16" s="207" t="s">
        <v>428</v>
      </c>
      <c r="C16" s="204">
        <v>11305</v>
      </c>
      <c r="D16" s="205">
        <v>6054</v>
      </c>
      <c r="E16" s="205">
        <v>250</v>
      </c>
      <c r="F16" s="205">
        <v>3712</v>
      </c>
      <c r="G16" s="206">
        <v>4911</v>
      </c>
      <c r="J16" s="207" t="s">
        <v>427</v>
      </c>
      <c r="K16" s="397">
        <v>8987</v>
      </c>
      <c r="L16" s="397">
        <v>2457</v>
      </c>
      <c r="M16" s="397">
        <v>9100</v>
      </c>
      <c r="N16" s="397">
        <v>3050</v>
      </c>
      <c r="O16" s="397">
        <v>2061</v>
      </c>
      <c r="P16" s="397">
        <v>3550</v>
      </c>
      <c r="Q16" s="397">
        <v>980</v>
      </c>
      <c r="R16" s="398">
        <v>3378</v>
      </c>
      <c r="S16" s="398">
        <v>1149</v>
      </c>
      <c r="T16" s="398">
        <v>1731</v>
      </c>
      <c r="U16" s="398">
        <v>591</v>
      </c>
      <c r="V16" s="398">
        <v>697</v>
      </c>
      <c r="W16" s="398">
        <v>2179</v>
      </c>
      <c r="X16" s="398">
        <v>354</v>
      </c>
      <c r="Y16" s="399">
        <v>10119</v>
      </c>
      <c r="Z16" s="399">
        <v>3091</v>
      </c>
      <c r="AA16" s="399">
        <v>8779</v>
      </c>
      <c r="AB16" s="399">
        <v>2684</v>
      </c>
      <c r="AC16" s="399">
        <v>3540</v>
      </c>
      <c r="AD16" s="399">
        <v>4076</v>
      </c>
      <c r="AE16" s="399">
        <v>1134</v>
      </c>
      <c r="AF16" s="400">
        <v>4321</v>
      </c>
      <c r="AG16" s="400">
        <v>1839</v>
      </c>
      <c r="AH16" s="400">
        <v>1740</v>
      </c>
      <c r="AI16" s="400">
        <v>603</v>
      </c>
      <c r="AJ16" s="400">
        <v>784</v>
      </c>
      <c r="AK16" s="400">
        <v>2197</v>
      </c>
      <c r="AL16" s="400">
        <v>563</v>
      </c>
    </row>
    <row r="17" spans="1:38" ht="18.75" x14ac:dyDescent="0.25">
      <c r="A17" s="202">
        <v>16</v>
      </c>
      <c r="B17" s="207" t="s">
        <v>429</v>
      </c>
      <c r="C17" s="204">
        <v>15190</v>
      </c>
      <c r="D17" s="205">
        <v>8423</v>
      </c>
      <c r="E17" s="205">
        <v>428</v>
      </c>
      <c r="F17" s="205">
        <v>5773</v>
      </c>
      <c r="G17" s="206">
        <v>6569</v>
      </c>
      <c r="J17" s="207" t="s">
        <v>428</v>
      </c>
      <c r="K17" s="397">
        <v>4995</v>
      </c>
      <c r="L17" s="397">
        <v>1638</v>
      </c>
      <c r="M17" s="397">
        <v>5090</v>
      </c>
      <c r="N17" s="397">
        <v>1582</v>
      </c>
      <c r="O17" s="397">
        <v>1464</v>
      </c>
      <c r="P17" s="397">
        <v>2434</v>
      </c>
      <c r="Q17" s="397">
        <v>3021</v>
      </c>
      <c r="R17" s="398">
        <v>1723</v>
      </c>
      <c r="S17" s="398">
        <v>565</v>
      </c>
      <c r="T17" s="398">
        <v>1756</v>
      </c>
      <c r="U17" s="398">
        <v>546</v>
      </c>
      <c r="V17" s="398">
        <v>530</v>
      </c>
      <c r="W17" s="398">
        <v>840</v>
      </c>
      <c r="X17" s="398">
        <v>1042</v>
      </c>
      <c r="Y17" s="399">
        <v>5741</v>
      </c>
      <c r="Z17" s="399">
        <v>2064</v>
      </c>
      <c r="AA17" s="399">
        <v>6323</v>
      </c>
      <c r="AB17" s="399">
        <v>2303</v>
      </c>
      <c r="AC17" s="399">
        <v>2194</v>
      </c>
      <c r="AD17" s="399">
        <v>3713</v>
      </c>
      <c r="AE17" s="399">
        <v>4372</v>
      </c>
      <c r="AF17" s="400">
        <v>1980</v>
      </c>
      <c r="AG17" s="400">
        <v>712</v>
      </c>
      <c r="AH17" s="400">
        <v>2181</v>
      </c>
      <c r="AI17" s="400">
        <v>795</v>
      </c>
      <c r="AJ17" s="400">
        <v>757</v>
      </c>
      <c r="AK17" s="400">
        <v>1281</v>
      </c>
      <c r="AL17" s="400">
        <v>1508</v>
      </c>
    </row>
    <row r="18" spans="1:38" ht="18.75" x14ac:dyDescent="0.25">
      <c r="A18" s="202">
        <v>17</v>
      </c>
      <c r="B18" s="207" t="s">
        <v>430</v>
      </c>
      <c r="C18" s="204">
        <v>11746</v>
      </c>
      <c r="D18" s="205">
        <v>6558</v>
      </c>
      <c r="E18" s="205">
        <v>454</v>
      </c>
      <c r="F18" s="205">
        <v>3061</v>
      </c>
      <c r="G18" s="206">
        <v>6434</v>
      </c>
      <c r="J18" s="207" t="s">
        <v>429</v>
      </c>
      <c r="K18" s="397">
        <v>7152</v>
      </c>
      <c r="L18" s="397">
        <v>4857</v>
      </c>
      <c r="M18" s="397">
        <v>5999</v>
      </c>
      <c r="N18" s="397">
        <v>3952</v>
      </c>
      <c r="O18" s="397">
        <v>5769</v>
      </c>
      <c r="P18" s="397">
        <v>3110</v>
      </c>
      <c r="Q18" s="397">
        <v>2368</v>
      </c>
      <c r="R18" s="398">
        <v>1302</v>
      </c>
      <c r="S18" s="398">
        <v>655</v>
      </c>
      <c r="T18" s="398">
        <v>1201</v>
      </c>
      <c r="U18" s="398">
        <v>1520</v>
      </c>
      <c r="V18" s="398">
        <v>2109</v>
      </c>
      <c r="W18" s="398">
        <v>1285</v>
      </c>
      <c r="X18" s="398">
        <v>1120</v>
      </c>
      <c r="Y18" s="399">
        <v>8122</v>
      </c>
      <c r="Z18" s="399">
        <v>5639</v>
      </c>
      <c r="AA18" s="399">
        <v>7996</v>
      </c>
      <c r="AB18" s="399">
        <v>5129</v>
      </c>
      <c r="AC18" s="399">
        <v>7683</v>
      </c>
      <c r="AD18" s="399">
        <v>4111</v>
      </c>
      <c r="AE18" s="399">
        <v>3852</v>
      </c>
      <c r="AF18" s="400">
        <v>1722</v>
      </c>
      <c r="AG18" s="400">
        <v>805</v>
      </c>
      <c r="AH18" s="400">
        <v>1450</v>
      </c>
      <c r="AI18" s="400">
        <v>2113</v>
      </c>
      <c r="AJ18" s="400">
        <v>2905</v>
      </c>
      <c r="AK18" s="400">
        <v>2140</v>
      </c>
      <c r="AL18" s="400">
        <v>1432</v>
      </c>
    </row>
    <row r="19" spans="1:38" ht="18.75" x14ac:dyDescent="0.25">
      <c r="A19" s="202">
        <v>18</v>
      </c>
      <c r="B19" s="207" t="s">
        <v>431</v>
      </c>
      <c r="C19" s="204">
        <v>2798</v>
      </c>
      <c r="D19" s="205">
        <v>1595</v>
      </c>
      <c r="E19" s="205">
        <v>81</v>
      </c>
      <c r="F19" s="205">
        <v>900</v>
      </c>
      <c r="G19" s="206">
        <v>1251</v>
      </c>
      <c r="J19" s="207" t="s">
        <v>430</v>
      </c>
      <c r="K19" s="397">
        <v>5894</v>
      </c>
      <c r="L19" s="397">
        <v>6008</v>
      </c>
      <c r="M19" s="397">
        <v>5210</v>
      </c>
      <c r="N19" s="397">
        <v>2000</v>
      </c>
      <c r="O19" s="397">
        <v>3300</v>
      </c>
      <c r="P19" s="397">
        <v>2059</v>
      </c>
      <c r="Q19" s="397">
        <v>1600</v>
      </c>
      <c r="R19" s="398">
        <v>1608</v>
      </c>
      <c r="S19" s="398">
        <v>1609</v>
      </c>
      <c r="T19" s="398">
        <v>418</v>
      </c>
      <c r="U19" s="398">
        <v>418</v>
      </c>
      <c r="V19" s="398">
        <v>3279</v>
      </c>
      <c r="W19" s="398">
        <v>227</v>
      </c>
      <c r="X19" s="398">
        <v>1530</v>
      </c>
      <c r="Y19" s="399">
        <v>5895</v>
      </c>
      <c r="Z19" s="399">
        <v>6109</v>
      </c>
      <c r="AA19" s="399">
        <v>5210</v>
      </c>
      <c r="AB19" s="399">
        <v>2000</v>
      </c>
      <c r="AC19" s="399">
        <v>3300</v>
      </c>
      <c r="AD19" s="399">
        <v>2059</v>
      </c>
      <c r="AE19" s="399">
        <v>1600</v>
      </c>
      <c r="AF19" s="400">
        <v>1608</v>
      </c>
      <c r="AG19" s="400">
        <v>1609</v>
      </c>
      <c r="AH19" s="400">
        <v>418</v>
      </c>
      <c r="AI19" s="400">
        <v>419</v>
      </c>
      <c r="AJ19" s="400">
        <v>3279</v>
      </c>
      <c r="AK19" s="400">
        <v>227</v>
      </c>
      <c r="AL19" s="400">
        <v>1531</v>
      </c>
    </row>
    <row r="20" spans="1:38" ht="18.75" x14ac:dyDescent="0.25">
      <c r="A20" s="202">
        <v>19</v>
      </c>
      <c r="B20" s="207" t="s">
        <v>432</v>
      </c>
      <c r="C20" s="204">
        <v>4307</v>
      </c>
      <c r="D20" s="205">
        <v>2319</v>
      </c>
      <c r="E20" s="205">
        <v>129</v>
      </c>
      <c r="F20" s="205">
        <v>1270</v>
      </c>
      <c r="G20" s="206">
        <v>2216</v>
      </c>
      <c r="J20" s="207" t="s">
        <v>431</v>
      </c>
      <c r="K20" s="397">
        <v>1566</v>
      </c>
      <c r="L20" s="397">
        <v>572</v>
      </c>
      <c r="M20" s="397">
        <v>592</v>
      </c>
      <c r="N20" s="397">
        <v>633</v>
      </c>
      <c r="O20" s="397">
        <v>576</v>
      </c>
      <c r="P20" s="397">
        <v>387</v>
      </c>
      <c r="Q20" s="397">
        <v>1550</v>
      </c>
      <c r="R20" s="398">
        <v>535</v>
      </c>
      <c r="S20" s="398">
        <v>230</v>
      </c>
      <c r="T20" s="398">
        <v>112</v>
      </c>
      <c r="U20" s="398">
        <v>303</v>
      </c>
      <c r="V20" s="398">
        <v>320</v>
      </c>
      <c r="W20" s="398">
        <v>51</v>
      </c>
      <c r="X20" s="398">
        <v>326</v>
      </c>
      <c r="Y20" s="399">
        <v>1263</v>
      </c>
      <c r="Z20" s="399">
        <v>524</v>
      </c>
      <c r="AA20" s="399">
        <v>531</v>
      </c>
      <c r="AB20" s="399">
        <v>718</v>
      </c>
      <c r="AC20" s="399">
        <v>664</v>
      </c>
      <c r="AD20" s="399">
        <v>534</v>
      </c>
      <c r="AE20" s="399">
        <v>2428</v>
      </c>
      <c r="AF20" s="400">
        <v>426</v>
      </c>
      <c r="AG20" s="400">
        <v>260</v>
      </c>
      <c r="AH20" s="400">
        <v>110</v>
      </c>
      <c r="AI20" s="400">
        <v>418</v>
      </c>
      <c r="AJ20" s="400">
        <v>354</v>
      </c>
      <c r="AK20" s="400">
        <v>84</v>
      </c>
      <c r="AL20" s="400">
        <v>520</v>
      </c>
    </row>
    <row r="21" spans="1:38" ht="18.75" x14ac:dyDescent="0.25">
      <c r="A21" s="202">
        <v>20</v>
      </c>
      <c r="B21" s="207" t="s">
        <v>433</v>
      </c>
      <c r="C21" s="204">
        <v>10675</v>
      </c>
      <c r="D21" s="205">
        <v>5470</v>
      </c>
      <c r="E21" s="205">
        <v>303</v>
      </c>
      <c r="F21" s="205">
        <v>2892</v>
      </c>
      <c r="G21" s="206">
        <v>5556</v>
      </c>
      <c r="J21" s="207" t="s">
        <v>432</v>
      </c>
      <c r="K21" s="397">
        <v>253</v>
      </c>
      <c r="L21" s="397">
        <v>623</v>
      </c>
      <c r="M21" s="397">
        <v>2629</v>
      </c>
      <c r="N21" s="397">
        <v>3244</v>
      </c>
      <c r="O21" s="397">
        <v>1641</v>
      </c>
      <c r="P21" s="397">
        <v>915</v>
      </c>
      <c r="Q21" s="397">
        <v>167</v>
      </c>
      <c r="R21" s="398">
        <v>153</v>
      </c>
      <c r="S21" s="398">
        <v>301</v>
      </c>
      <c r="T21" s="398">
        <v>456</v>
      </c>
      <c r="U21" s="398">
        <v>529</v>
      </c>
      <c r="V21" s="398">
        <v>598</v>
      </c>
      <c r="W21" s="398">
        <v>795</v>
      </c>
      <c r="X21" s="398">
        <v>115</v>
      </c>
      <c r="Y21" s="399">
        <v>358</v>
      </c>
      <c r="Z21" s="399">
        <v>714</v>
      </c>
      <c r="AA21" s="399">
        <v>2418</v>
      </c>
      <c r="AB21" s="399">
        <v>4508</v>
      </c>
      <c r="AC21" s="399">
        <v>1417</v>
      </c>
      <c r="AD21" s="399">
        <v>325</v>
      </c>
      <c r="AE21" s="399">
        <v>178</v>
      </c>
      <c r="AF21" s="400">
        <v>213</v>
      </c>
      <c r="AG21" s="400">
        <v>312</v>
      </c>
      <c r="AH21" s="400">
        <v>218</v>
      </c>
      <c r="AI21" s="400">
        <v>2102</v>
      </c>
      <c r="AJ21" s="400">
        <v>523</v>
      </c>
      <c r="AK21" s="400">
        <v>102</v>
      </c>
      <c r="AL21" s="400">
        <v>106</v>
      </c>
    </row>
    <row r="22" spans="1:38" ht="18.75" x14ac:dyDescent="0.25">
      <c r="A22" s="202">
        <v>21</v>
      </c>
      <c r="B22" s="207" t="s">
        <v>434</v>
      </c>
      <c r="C22" s="204">
        <v>2917</v>
      </c>
      <c r="D22" s="205">
        <v>1720</v>
      </c>
      <c r="E22" s="205">
        <v>83</v>
      </c>
      <c r="F22" s="205">
        <v>992</v>
      </c>
      <c r="G22" s="206">
        <v>1296</v>
      </c>
      <c r="J22" s="207" t="s">
        <v>433</v>
      </c>
      <c r="K22" s="397">
        <v>7009</v>
      </c>
      <c r="L22" s="397">
        <v>2294</v>
      </c>
      <c r="M22" s="397">
        <v>5912</v>
      </c>
      <c r="N22" s="397">
        <v>2105</v>
      </c>
      <c r="O22" s="397">
        <v>1999</v>
      </c>
      <c r="P22" s="397">
        <v>2394</v>
      </c>
      <c r="Q22" s="397">
        <v>1114</v>
      </c>
      <c r="R22" s="398">
        <v>2348</v>
      </c>
      <c r="S22" s="398">
        <v>768</v>
      </c>
      <c r="T22" s="398">
        <v>1981</v>
      </c>
      <c r="U22" s="398">
        <v>705</v>
      </c>
      <c r="V22" s="398">
        <v>703</v>
      </c>
      <c r="W22" s="398">
        <v>803</v>
      </c>
      <c r="X22" s="398">
        <v>373</v>
      </c>
      <c r="Y22" s="399">
        <v>7031</v>
      </c>
      <c r="Z22" s="399">
        <v>2410</v>
      </c>
      <c r="AA22" s="399">
        <v>6388</v>
      </c>
      <c r="AB22" s="399">
        <v>2327</v>
      </c>
      <c r="AC22" s="399">
        <v>2332</v>
      </c>
      <c r="AD22" s="399">
        <v>3184</v>
      </c>
      <c r="AE22" s="399">
        <v>1842</v>
      </c>
      <c r="AF22" s="400">
        <v>2355</v>
      </c>
      <c r="AG22" s="400">
        <v>808</v>
      </c>
      <c r="AH22" s="400">
        <v>2141</v>
      </c>
      <c r="AI22" s="400">
        <v>781</v>
      </c>
      <c r="AJ22" s="400">
        <v>780</v>
      </c>
      <c r="AK22" s="400">
        <v>1068</v>
      </c>
      <c r="AL22" s="400">
        <v>617</v>
      </c>
    </row>
    <row r="23" spans="1:38" ht="18.75" x14ac:dyDescent="0.25">
      <c r="A23" s="202">
        <v>22</v>
      </c>
      <c r="B23" s="207" t="s">
        <v>435</v>
      </c>
      <c r="C23" s="204">
        <v>4915</v>
      </c>
      <c r="D23" s="205">
        <v>2712</v>
      </c>
      <c r="E23" s="205">
        <v>147</v>
      </c>
      <c r="F23" s="205">
        <v>1589</v>
      </c>
      <c r="G23" s="206">
        <v>2316</v>
      </c>
      <c r="J23" s="207" t="s">
        <v>434</v>
      </c>
      <c r="K23" s="397">
        <v>1465</v>
      </c>
      <c r="L23" s="397">
        <v>566</v>
      </c>
      <c r="M23" s="397">
        <v>1345</v>
      </c>
      <c r="N23" s="397">
        <v>576</v>
      </c>
      <c r="O23" s="397">
        <v>590</v>
      </c>
      <c r="P23" s="397">
        <v>722</v>
      </c>
      <c r="Q23" s="397">
        <v>566</v>
      </c>
      <c r="R23" s="398">
        <v>358</v>
      </c>
      <c r="S23" s="398">
        <v>190</v>
      </c>
      <c r="T23" s="398">
        <v>350</v>
      </c>
      <c r="U23" s="398">
        <v>290</v>
      </c>
      <c r="V23" s="398">
        <v>260</v>
      </c>
      <c r="W23" s="398">
        <v>320</v>
      </c>
      <c r="X23" s="398">
        <v>280</v>
      </c>
      <c r="Y23" s="399">
        <v>1326</v>
      </c>
      <c r="Z23" s="399">
        <v>576</v>
      </c>
      <c r="AA23" s="399">
        <v>1487</v>
      </c>
      <c r="AB23" s="399">
        <v>625</v>
      </c>
      <c r="AC23" s="399">
        <v>720</v>
      </c>
      <c r="AD23" s="399">
        <v>1101</v>
      </c>
      <c r="AE23" s="399">
        <v>756</v>
      </c>
      <c r="AF23" s="400">
        <v>302</v>
      </c>
      <c r="AG23" s="400">
        <v>195</v>
      </c>
      <c r="AH23" s="400">
        <v>370</v>
      </c>
      <c r="AI23" s="400">
        <v>315</v>
      </c>
      <c r="AJ23" s="400">
        <v>240</v>
      </c>
      <c r="AK23" s="400">
        <v>367</v>
      </c>
      <c r="AL23" s="400">
        <v>376</v>
      </c>
    </row>
    <row r="24" spans="1:38" ht="18.75" x14ac:dyDescent="0.25">
      <c r="A24" s="202">
        <v>23</v>
      </c>
      <c r="B24" s="207" t="s">
        <v>436</v>
      </c>
      <c r="C24" s="204">
        <v>5541</v>
      </c>
      <c r="D24" s="205">
        <v>3175</v>
      </c>
      <c r="E24" s="205">
        <v>165</v>
      </c>
      <c r="F24" s="205">
        <v>1865</v>
      </c>
      <c r="G24" s="206">
        <v>2350</v>
      </c>
      <c r="J24" s="207" t="s">
        <v>435</v>
      </c>
      <c r="K24" s="397">
        <v>2927</v>
      </c>
      <c r="L24" s="397">
        <v>1018</v>
      </c>
      <c r="M24" s="397">
        <v>2723</v>
      </c>
      <c r="N24" s="397">
        <v>987</v>
      </c>
      <c r="O24" s="397">
        <v>932</v>
      </c>
      <c r="P24" s="397">
        <v>902</v>
      </c>
      <c r="Q24" s="397">
        <v>403</v>
      </c>
      <c r="R24" s="398">
        <v>1351</v>
      </c>
      <c r="S24" s="398">
        <v>473</v>
      </c>
      <c r="T24" s="398">
        <v>804</v>
      </c>
      <c r="U24" s="398">
        <v>192</v>
      </c>
      <c r="V24" s="398">
        <v>180</v>
      </c>
      <c r="W24" s="398">
        <v>297</v>
      </c>
      <c r="X24" s="398">
        <v>90</v>
      </c>
      <c r="Y24" s="399">
        <v>1975</v>
      </c>
      <c r="Z24" s="399">
        <v>878</v>
      </c>
      <c r="AA24" s="399">
        <v>2828</v>
      </c>
      <c r="AB24" s="399">
        <v>1089</v>
      </c>
      <c r="AC24" s="399">
        <v>1122</v>
      </c>
      <c r="AD24" s="399">
        <v>2644</v>
      </c>
      <c r="AE24" s="399">
        <v>1226</v>
      </c>
      <c r="AF24" s="400">
        <v>1276</v>
      </c>
      <c r="AG24" s="400">
        <v>319</v>
      </c>
      <c r="AH24" s="400">
        <v>1046</v>
      </c>
      <c r="AI24" s="400">
        <v>213</v>
      </c>
      <c r="AJ24" s="400">
        <v>218</v>
      </c>
      <c r="AK24" s="400">
        <v>595</v>
      </c>
      <c r="AL24" s="400">
        <v>177</v>
      </c>
    </row>
    <row r="25" spans="1:38" ht="18.75" x14ac:dyDescent="0.25">
      <c r="A25" s="202">
        <v>24</v>
      </c>
      <c r="B25" s="207" t="s">
        <v>437</v>
      </c>
      <c r="C25" s="204">
        <v>7383</v>
      </c>
      <c r="D25" s="205">
        <v>4202</v>
      </c>
      <c r="E25" s="205">
        <v>208</v>
      </c>
      <c r="F25" s="205">
        <v>2508</v>
      </c>
      <c r="G25" s="206">
        <v>3400</v>
      </c>
      <c r="J25" s="207" t="s">
        <v>436</v>
      </c>
      <c r="K25" s="397">
        <v>2800</v>
      </c>
      <c r="L25" s="397">
        <v>997</v>
      </c>
      <c r="M25" s="397">
        <v>2910</v>
      </c>
      <c r="N25" s="397">
        <v>1148</v>
      </c>
      <c r="O25" s="397">
        <v>1058</v>
      </c>
      <c r="P25" s="397">
        <v>1135</v>
      </c>
      <c r="Q25" s="397">
        <v>797</v>
      </c>
      <c r="R25" s="398">
        <v>860</v>
      </c>
      <c r="S25" s="398">
        <v>330</v>
      </c>
      <c r="T25" s="398">
        <v>495</v>
      </c>
      <c r="U25" s="398">
        <v>490</v>
      </c>
      <c r="V25" s="398">
        <v>459</v>
      </c>
      <c r="W25" s="398">
        <v>400</v>
      </c>
      <c r="X25" s="398">
        <v>80</v>
      </c>
      <c r="Y25" s="399">
        <v>2485</v>
      </c>
      <c r="Z25" s="399">
        <v>991</v>
      </c>
      <c r="AA25" s="399">
        <v>3030</v>
      </c>
      <c r="AB25" s="399">
        <v>1300</v>
      </c>
      <c r="AC25" s="399">
        <v>1243</v>
      </c>
      <c r="AD25" s="399">
        <v>1624</v>
      </c>
      <c r="AE25" s="399">
        <v>2296</v>
      </c>
      <c r="AF25" s="400">
        <v>1050</v>
      </c>
      <c r="AG25" s="400">
        <v>330</v>
      </c>
      <c r="AH25" s="400">
        <v>960</v>
      </c>
      <c r="AI25" s="400">
        <v>400</v>
      </c>
      <c r="AJ25" s="400">
        <v>687</v>
      </c>
      <c r="AK25" s="400">
        <v>680</v>
      </c>
      <c r="AL25" s="400">
        <v>670</v>
      </c>
    </row>
    <row r="26" spans="1:38" ht="18.75" x14ac:dyDescent="0.25">
      <c r="A26" s="202">
        <v>25</v>
      </c>
      <c r="B26" s="207" t="s">
        <v>438</v>
      </c>
      <c r="C26" s="204">
        <v>5695</v>
      </c>
      <c r="D26" s="205">
        <v>3113</v>
      </c>
      <c r="E26" s="205">
        <v>156</v>
      </c>
      <c r="F26" s="205">
        <v>1784</v>
      </c>
      <c r="G26" s="206">
        <v>2879</v>
      </c>
      <c r="J26" s="207" t="s">
        <v>437</v>
      </c>
      <c r="K26" s="397">
        <v>3483</v>
      </c>
      <c r="L26" s="397">
        <v>1225</v>
      </c>
      <c r="M26" s="397">
        <v>3717</v>
      </c>
      <c r="N26" s="397">
        <v>1400</v>
      </c>
      <c r="O26" s="397">
        <v>1967</v>
      </c>
      <c r="P26" s="397">
        <v>1958</v>
      </c>
      <c r="Q26" s="397">
        <v>1997</v>
      </c>
      <c r="R26" s="398">
        <v>1402</v>
      </c>
      <c r="S26" s="398">
        <v>720</v>
      </c>
      <c r="T26" s="398">
        <v>892</v>
      </c>
      <c r="U26" s="398">
        <v>620</v>
      </c>
      <c r="V26" s="398">
        <v>633</v>
      </c>
      <c r="W26" s="398">
        <v>638</v>
      </c>
      <c r="X26" s="398">
        <v>480</v>
      </c>
      <c r="Y26" s="399">
        <v>3452</v>
      </c>
      <c r="Z26" s="399">
        <v>1205</v>
      </c>
      <c r="AA26" s="399">
        <v>3752</v>
      </c>
      <c r="AB26" s="399">
        <v>1321</v>
      </c>
      <c r="AC26" s="399">
        <v>1812</v>
      </c>
      <c r="AD26" s="399">
        <v>1802</v>
      </c>
      <c r="AE26" s="399">
        <v>1799</v>
      </c>
      <c r="AF26" s="400">
        <v>1404</v>
      </c>
      <c r="AG26" s="400">
        <v>722</v>
      </c>
      <c r="AH26" s="400">
        <v>894</v>
      </c>
      <c r="AI26" s="400">
        <v>622</v>
      </c>
      <c r="AJ26" s="400">
        <v>636</v>
      </c>
      <c r="AK26" s="400">
        <v>640</v>
      </c>
      <c r="AL26" s="400">
        <v>480</v>
      </c>
    </row>
    <row r="27" spans="1:38" ht="18.75" x14ac:dyDescent="0.25">
      <c r="A27" s="202">
        <v>26</v>
      </c>
      <c r="B27" s="207" t="s">
        <v>439</v>
      </c>
      <c r="C27" s="204">
        <v>10134</v>
      </c>
      <c r="D27" s="205">
        <v>5645</v>
      </c>
      <c r="E27" s="205">
        <v>318</v>
      </c>
      <c r="F27" s="205">
        <v>3317</v>
      </c>
      <c r="G27" s="206">
        <v>5012</v>
      </c>
      <c r="J27" s="207" t="s">
        <v>438</v>
      </c>
      <c r="K27" s="397">
        <v>3118</v>
      </c>
      <c r="L27" s="397">
        <v>1149</v>
      </c>
      <c r="M27" s="397">
        <v>2995</v>
      </c>
      <c r="N27" s="397">
        <v>1117</v>
      </c>
      <c r="O27" s="397">
        <v>1041</v>
      </c>
      <c r="P27" s="397">
        <v>856</v>
      </c>
      <c r="Q27" s="397">
        <v>1098</v>
      </c>
      <c r="R27" s="398">
        <v>1205</v>
      </c>
      <c r="S27" s="398">
        <v>583</v>
      </c>
      <c r="T27" s="398">
        <v>1008</v>
      </c>
      <c r="U27" s="398">
        <v>375</v>
      </c>
      <c r="V27" s="398">
        <v>414</v>
      </c>
      <c r="W27" s="398">
        <v>345</v>
      </c>
      <c r="X27" s="398">
        <v>374</v>
      </c>
      <c r="Y27" s="399">
        <v>2964</v>
      </c>
      <c r="Z27" s="399">
        <v>1079</v>
      </c>
      <c r="AA27" s="399">
        <v>3151</v>
      </c>
      <c r="AB27" s="399">
        <v>1313</v>
      </c>
      <c r="AC27" s="399">
        <v>1290</v>
      </c>
      <c r="AD27" s="399">
        <v>1146</v>
      </c>
      <c r="AE27" s="399">
        <v>1159</v>
      </c>
      <c r="AF27" s="400">
        <v>1028</v>
      </c>
      <c r="AG27" s="400">
        <v>444</v>
      </c>
      <c r="AH27" s="400">
        <v>984</v>
      </c>
      <c r="AI27" s="400">
        <v>461</v>
      </c>
      <c r="AJ27" s="400">
        <v>478</v>
      </c>
      <c r="AK27" s="400">
        <v>401</v>
      </c>
      <c r="AL27" s="400">
        <v>474</v>
      </c>
    </row>
    <row r="28" spans="1:38" ht="18.75" x14ac:dyDescent="0.25">
      <c r="A28" s="202">
        <v>27</v>
      </c>
      <c r="B28" s="207" t="s">
        <v>440</v>
      </c>
      <c r="C28" s="204">
        <v>15620</v>
      </c>
      <c r="D28" s="205">
        <v>8774</v>
      </c>
      <c r="E28" s="205">
        <v>452</v>
      </c>
      <c r="F28" s="205">
        <v>5272</v>
      </c>
      <c r="G28" s="206">
        <v>7264</v>
      </c>
      <c r="J28" s="207" t="s">
        <v>439</v>
      </c>
      <c r="K28" s="397">
        <v>9286</v>
      </c>
      <c r="L28" s="397">
        <v>1703</v>
      </c>
      <c r="M28" s="397">
        <v>3057</v>
      </c>
      <c r="N28" s="397">
        <v>1712</v>
      </c>
      <c r="O28" s="397">
        <v>1605</v>
      </c>
      <c r="P28" s="397">
        <v>1332</v>
      </c>
      <c r="Q28" s="397">
        <v>1960</v>
      </c>
      <c r="R28" s="398">
        <v>3305</v>
      </c>
      <c r="S28" s="398">
        <v>606</v>
      </c>
      <c r="T28" s="398">
        <v>1095</v>
      </c>
      <c r="U28" s="398">
        <v>609</v>
      </c>
      <c r="V28" s="398">
        <v>571</v>
      </c>
      <c r="W28" s="398">
        <v>474</v>
      </c>
      <c r="X28" s="398">
        <v>698</v>
      </c>
      <c r="Y28" s="399">
        <v>5301</v>
      </c>
      <c r="Z28" s="399">
        <v>1639</v>
      </c>
      <c r="AA28" s="399">
        <v>3593</v>
      </c>
      <c r="AB28" s="399">
        <v>2104</v>
      </c>
      <c r="AC28" s="399">
        <v>2189</v>
      </c>
      <c r="AD28" s="399">
        <v>2075</v>
      </c>
      <c r="AE28" s="399">
        <v>3929</v>
      </c>
      <c r="AF28" s="400">
        <v>1998</v>
      </c>
      <c r="AG28" s="400">
        <v>607</v>
      </c>
      <c r="AH28" s="400">
        <v>1369</v>
      </c>
      <c r="AI28" s="400">
        <v>779</v>
      </c>
      <c r="AJ28" s="400">
        <v>811</v>
      </c>
      <c r="AK28" s="400">
        <v>769</v>
      </c>
      <c r="AL28" s="400">
        <v>1455</v>
      </c>
    </row>
    <row r="29" spans="1:38" ht="18.75" x14ac:dyDescent="0.25">
      <c r="A29" s="202">
        <v>28</v>
      </c>
      <c r="B29" s="203" t="s">
        <v>441</v>
      </c>
      <c r="C29" s="204">
        <v>10210</v>
      </c>
      <c r="D29" s="205">
        <v>6007</v>
      </c>
      <c r="E29" s="205">
        <v>244</v>
      </c>
      <c r="F29" s="205">
        <v>3853</v>
      </c>
      <c r="G29" s="206">
        <v>4520</v>
      </c>
      <c r="J29" s="207" t="s">
        <v>440</v>
      </c>
      <c r="K29" s="397">
        <v>2685</v>
      </c>
      <c r="L29" s="397">
        <v>3488</v>
      </c>
      <c r="M29" s="397">
        <v>2432</v>
      </c>
      <c r="N29" s="397">
        <v>2607</v>
      </c>
      <c r="O29" s="397">
        <v>5476</v>
      </c>
      <c r="P29" s="397">
        <v>5215</v>
      </c>
      <c r="Q29" s="397">
        <v>4171</v>
      </c>
      <c r="R29" s="398">
        <v>2118</v>
      </c>
      <c r="S29" s="398">
        <v>1747</v>
      </c>
      <c r="T29" s="398">
        <v>1062</v>
      </c>
      <c r="U29" s="398">
        <v>624</v>
      </c>
      <c r="V29" s="398">
        <v>1312</v>
      </c>
      <c r="W29" s="398">
        <v>1431</v>
      </c>
      <c r="X29" s="398">
        <v>858</v>
      </c>
      <c r="Y29" s="399">
        <v>3526</v>
      </c>
      <c r="Z29" s="399">
        <v>4733</v>
      </c>
      <c r="AA29" s="399">
        <v>4649</v>
      </c>
      <c r="AB29" s="399">
        <v>3910</v>
      </c>
      <c r="AC29" s="399">
        <v>8213</v>
      </c>
      <c r="AD29" s="399">
        <v>7822</v>
      </c>
      <c r="AE29" s="399">
        <v>6258</v>
      </c>
      <c r="AF29" s="400">
        <v>3178</v>
      </c>
      <c r="AG29" s="400">
        <v>2620</v>
      </c>
      <c r="AH29" s="400">
        <v>1593</v>
      </c>
      <c r="AI29" s="400">
        <v>938</v>
      </c>
      <c r="AJ29" s="400">
        <v>1968</v>
      </c>
      <c r="AK29" s="400">
        <v>2148</v>
      </c>
      <c r="AL29" s="400">
        <v>1287</v>
      </c>
    </row>
    <row r="30" spans="1:38" ht="18.75" x14ac:dyDescent="0.25">
      <c r="A30" s="202">
        <v>29</v>
      </c>
      <c r="B30" s="207" t="s">
        <v>442</v>
      </c>
      <c r="C30" s="204">
        <v>2785</v>
      </c>
      <c r="D30" s="205">
        <v>1564</v>
      </c>
      <c r="E30" s="205">
        <v>86</v>
      </c>
      <c r="F30" s="205">
        <v>862</v>
      </c>
      <c r="G30" s="206">
        <v>1237</v>
      </c>
      <c r="J30" s="203" t="s">
        <v>441</v>
      </c>
      <c r="K30" s="397">
        <v>2025</v>
      </c>
      <c r="L30" s="397">
        <v>2015</v>
      </c>
      <c r="M30" s="397">
        <v>5695</v>
      </c>
      <c r="N30" s="397">
        <v>2755</v>
      </c>
      <c r="O30" s="397">
        <v>1932</v>
      </c>
      <c r="P30" s="397">
        <v>2165</v>
      </c>
      <c r="Q30" s="397">
        <v>1784</v>
      </c>
      <c r="R30" s="398">
        <v>1576</v>
      </c>
      <c r="S30" s="398">
        <v>1860</v>
      </c>
      <c r="T30" s="398">
        <v>1060</v>
      </c>
      <c r="U30" s="398">
        <v>745</v>
      </c>
      <c r="V30" s="398">
        <v>511</v>
      </c>
      <c r="W30" s="398">
        <v>403</v>
      </c>
      <c r="X30" s="398">
        <v>223</v>
      </c>
      <c r="Y30" s="399">
        <v>2025</v>
      </c>
      <c r="Z30" s="399">
        <v>2496</v>
      </c>
      <c r="AA30" s="399">
        <v>6208</v>
      </c>
      <c r="AB30" s="399">
        <v>2703</v>
      </c>
      <c r="AC30" s="399">
        <v>2135</v>
      </c>
      <c r="AD30" s="399">
        <v>4291</v>
      </c>
      <c r="AE30" s="399">
        <v>5008</v>
      </c>
      <c r="AF30" s="400">
        <v>1846</v>
      </c>
      <c r="AG30" s="400">
        <v>2336</v>
      </c>
      <c r="AH30" s="400">
        <v>1460</v>
      </c>
      <c r="AI30" s="400">
        <v>889</v>
      </c>
      <c r="AJ30" s="400">
        <v>880</v>
      </c>
      <c r="AK30" s="400">
        <v>713</v>
      </c>
      <c r="AL30" s="400">
        <v>228</v>
      </c>
    </row>
    <row r="31" spans="1:38" ht="18.75" x14ac:dyDescent="0.25">
      <c r="A31" s="202">
        <v>30</v>
      </c>
      <c r="B31" s="207" t="s">
        <v>443</v>
      </c>
      <c r="C31" s="204">
        <v>2939</v>
      </c>
      <c r="D31" s="205">
        <v>1619</v>
      </c>
      <c r="E31" s="205">
        <v>94</v>
      </c>
      <c r="F31" s="205">
        <v>902</v>
      </c>
      <c r="G31" s="206">
        <v>1379</v>
      </c>
      <c r="J31" s="207" t="s">
        <v>442</v>
      </c>
      <c r="K31" s="397">
        <v>512</v>
      </c>
      <c r="L31" s="397">
        <v>279</v>
      </c>
      <c r="M31" s="397">
        <v>298</v>
      </c>
      <c r="N31" s="397">
        <v>358</v>
      </c>
      <c r="O31" s="397">
        <v>225</v>
      </c>
      <c r="P31" s="397">
        <v>169</v>
      </c>
      <c r="Q31" s="397">
        <v>128</v>
      </c>
      <c r="R31" s="398">
        <v>493</v>
      </c>
      <c r="S31" s="398">
        <v>260</v>
      </c>
      <c r="T31" s="398">
        <v>279</v>
      </c>
      <c r="U31" s="398">
        <v>339</v>
      </c>
      <c r="V31" s="398">
        <v>206</v>
      </c>
      <c r="W31" s="398">
        <v>150</v>
      </c>
      <c r="X31" s="398">
        <v>110</v>
      </c>
      <c r="Y31" s="399">
        <v>652</v>
      </c>
      <c r="Z31" s="399">
        <v>321</v>
      </c>
      <c r="AA31" s="399">
        <v>305</v>
      </c>
      <c r="AB31" s="399">
        <v>392</v>
      </c>
      <c r="AC31" s="399">
        <v>281</v>
      </c>
      <c r="AD31" s="399">
        <v>189</v>
      </c>
      <c r="AE31" s="399">
        <v>185</v>
      </c>
      <c r="AF31" s="400">
        <v>632</v>
      </c>
      <c r="AG31" s="400">
        <v>301</v>
      </c>
      <c r="AH31" s="400">
        <v>285</v>
      </c>
      <c r="AI31" s="400">
        <v>372</v>
      </c>
      <c r="AJ31" s="400">
        <v>261</v>
      </c>
      <c r="AK31" s="400">
        <v>165</v>
      </c>
      <c r="AL31" s="400">
        <v>169</v>
      </c>
    </row>
    <row r="32" spans="1:38" ht="18.75" x14ac:dyDescent="0.25">
      <c r="A32" s="202">
        <v>31</v>
      </c>
      <c r="B32" s="207" t="s">
        <v>444</v>
      </c>
      <c r="C32" s="204">
        <v>6007</v>
      </c>
      <c r="D32" s="205">
        <v>3173</v>
      </c>
      <c r="E32" s="205">
        <v>151</v>
      </c>
      <c r="F32" s="205">
        <v>1823</v>
      </c>
      <c r="G32" s="206">
        <v>3240</v>
      </c>
      <c r="J32" s="207" t="s">
        <v>443</v>
      </c>
      <c r="K32" s="397">
        <v>1689</v>
      </c>
      <c r="L32" s="397">
        <v>634</v>
      </c>
      <c r="M32" s="397">
        <v>1620</v>
      </c>
      <c r="N32" s="397">
        <v>609</v>
      </c>
      <c r="O32" s="397">
        <v>615</v>
      </c>
      <c r="P32" s="397">
        <v>927</v>
      </c>
      <c r="Q32" s="397">
        <v>371</v>
      </c>
      <c r="R32" s="398">
        <v>635</v>
      </c>
      <c r="S32" s="398">
        <v>375</v>
      </c>
      <c r="T32" s="398">
        <v>286</v>
      </c>
      <c r="U32" s="398">
        <v>218</v>
      </c>
      <c r="V32" s="398">
        <v>189</v>
      </c>
      <c r="W32" s="398">
        <v>178</v>
      </c>
      <c r="X32" s="398">
        <v>95</v>
      </c>
      <c r="Y32" s="399">
        <v>1420</v>
      </c>
      <c r="Z32" s="399">
        <v>715</v>
      </c>
      <c r="AA32" s="399">
        <v>1606</v>
      </c>
      <c r="AB32" s="399">
        <v>607</v>
      </c>
      <c r="AC32" s="399">
        <v>655</v>
      </c>
      <c r="AD32" s="399">
        <v>1049</v>
      </c>
      <c r="AE32" s="399">
        <v>425</v>
      </c>
      <c r="AF32" s="400">
        <v>515</v>
      </c>
      <c r="AG32" s="400">
        <v>422</v>
      </c>
      <c r="AH32" s="400">
        <v>418</v>
      </c>
      <c r="AI32" s="400">
        <v>301</v>
      </c>
      <c r="AJ32" s="400">
        <v>315</v>
      </c>
      <c r="AK32" s="400">
        <v>256</v>
      </c>
      <c r="AL32" s="400">
        <v>115</v>
      </c>
    </row>
    <row r="33" spans="1:38" ht="18.75" x14ac:dyDescent="0.25">
      <c r="A33" s="202">
        <v>32</v>
      </c>
      <c r="B33" s="207" t="s">
        <v>445</v>
      </c>
      <c r="C33" s="204">
        <v>6279</v>
      </c>
      <c r="D33" s="205">
        <v>3570</v>
      </c>
      <c r="E33" s="205">
        <v>180</v>
      </c>
      <c r="F33" s="205">
        <v>2130</v>
      </c>
      <c r="G33" s="206">
        <v>2897</v>
      </c>
      <c r="J33" s="207" t="s">
        <v>444</v>
      </c>
      <c r="K33" s="397">
        <v>3231</v>
      </c>
      <c r="L33" s="397">
        <v>1201</v>
      </c>
      <c r="M33" s="397">
        <v>3287</v>
      </c>
      <c r="N33" s="397">
        <v>1101</v>
      </c>
      <c r="O33" s="397">
        <v>943</v>
      </c>
      <c r="P33" s="397">
        <v>1440</v>
      </c>
      <c r="Q33" s="397">
        <v>605</v>
      </c>
      <c r="R33" s="398">
        <v>938</v>
      </c>
      <c r="S33" s="398">
        <v>282</v>
      </c>
      <c r="T33" s="398">
        <v>765</v>
      </c>
      <c r="U33" s="398">
        <v>241</v>
      </c>
      <c r="V33" s="398">
        <v>199</v>
      </c>
      <c r="W33" s="398">
        <v>158</v>
      </c>
      <c r="X33" s="398">
        <v>234</v>
      </c>
      <c r="Y33" s="399">
        <v>2986</v>
      </c>
      <c r="Z33" s="399">
        <v>1103</v>
      </c>
      <c r="AA33" s="399">
        <v>2885</v>
      </c>
      <c r="AB33" s="399">
        <v>1052</v>
      </c>
      <c r="AC33" s="399">
        <v>1524</v>
      </c>
      <c r="AD33" s="399">
        <v>3887</v>
      </c>
      <c r="AE33" s="399">
        <v>1124</v>
      </c>
      <c r="AF33" s="400">
        <v>926</v>
      </c>
      <c r="AG33" s="400">
        <v>985</v>
      </c>
      <c r="AH33" s="400">
        <v>921</v>
      </c>
      <c r="AI33" s="400">
        <v>956</v>
      </c>
      <c r="AJ33" s="400">
        <v>982</v>
      </c>
      <c r="AK33" s="400">
        <v>954</v>
      </c>
      <c r="AL33" s="400">
        <v>706</v>
      </c>
    </row>
    <row r="34" spans="1:38" ht="18.75" x14ac:dyDescent="0.25">
      <c r="A34" s="202">
        <v>33</v>
      </c>
      <c r="B34" s="207" t="s">
        <v>446</v>
      </c>
      <c r="C34" s="208">
        <v>5058</v>
      </c>
      <c r="D34" s="209">
        <v>2718</v>
      </c>
      <c r="E34" s="205">
        <v>156</v>
      </c>
      <c r="F34" s="205">
        <v>1505</v>
      </c>
      <c r="G34" s="206">
        <v>2499</v>
      </c>
      <c r="J34" s="207" t="s">
        <v>445</v>
      </c>
      <c r="K34" s="397">
        <v>3281</v>
      </c>
      <c r="L34" s="397">
        <v>1355</v>
      </c>
      <c r="M34" s="397">
        <v>3120</v>
      </c>
      <c r="N34" s="397">
        <v>1115</v>
      </c>
      <c r="O34" s="397">
        <v>1206</v>
      </c>
      <c r="P34" s="397">
        <v>1611</v>
      </c>
      <c r="Q34" s="397">
        <v>759</v>
      </c>
      <c r="R34" s="398">
        <v>1546</v>
      </c>
      <c r="S34" s="398">
        <v>505</v>
      </c>
      <c r="T34" s="398">
        <v>878</v>
      </c>
      <c r="U34" s="398">
        <v>337</v>
      </c>
      <c r="V34" s="398">
        <v>372</v>
      </c>
      <c r="W34" s="398">
        <v>471</v>
      </c>
      <c r="X34" s="398">
        <v>241</v>
      </c>
      <c r="Y34" s="399">
        <v>3081</v>
      </c>
      <c r="Z34" s="399">
        <v>1292</v>
      </c>
      <c r="AA34" s="399">
        <v>3395</v>
      </c>
      <c r="AB34" s="399">
        <v>1230</v>
      </c>
      <c r="AC34" s="399">
        <v>1347</v>
      </c>
      <c r="AD34" s="399">
        <v>2376</v>
      </c>
      <c r="AE34" s="399">
        <v>1975</v>
      </c>
      <c r="AF34" s="400">
        <v>1478</v>
      </c>
      <c r="AG34" s="400">
        <v>373</v>
      </c>
      <c r="AH34" s="400">
        <v>953</v>
      </c>
      <c r="AI34" s="400">
        <v>368</v>
      </c>
      <c r="AJ34" s="400">
        <v>400</v>
      </c>
      <c r="AK34" s="400">
        <v>677</v>
      </c>
      <c r="AL34" s="400">
        <v>577</v>
      </c>
    </row>
    <row r="35" spans="1:38" ht="18.75" x14ac:dyDescent="0.25">
      <c r="A35" s="202">
        <v>34</v>
      </c>
      <c r="B35" s="207" t="s">
        <v>447</v>
      </c>
      <c r="C35" s="204">
        <v>14294</v>
      </c>
      <c r="D35" s="205">
        <v>7886</v>
      </c>
      <c r="E35" s="205">
        <v>404</v>
      </c>
      <c r="F35" s="205">
        <v>4568</v>
      </c>
      <c r="G35" s="206">
        <v>6756</v>
      </c>
      <c r="J35" s="207" t="s">
        <v>446</v>
      </c>
      <c r="K35" s="397">
        <v>3124</v>
      </c>
      <c r="L35" s="397">
        <v>1425</v>
      </c>
      <c r="M35" s="397">
        <v>3052</v>
      </c>
      <c r="N35" s="397">
        <v>1100</v>
      </c>
      <c r="O35" s="397">
        <v>1253</v>
      </c>
      <c r="P35" s="397">
        <v>1747</v>
      </c>
      <c r="Q35" s="397">
        <v>1540</v>
      </c>
      <c r="R35" s="398">
        <v>1236</v>
      </c>
      <c r="S35" s="398">
        <v>559</v>
      </c>
      <c r="T35" s="398">
        <v>639</v>
      </c>
      <c r="U35" s="398">
        <v>294</v>
      </c>
      <c r="V35" s="398">
        <v>219</v>
      </c>
      <c r="W35" s="398">
        <v>282</v>
      </c>
      <c r="X35" s="398">
        <v>261</v>
      </c>
      <c r="Y35" s="399">
        <v>3801</v>
      </c>
      <c r="Z35" s="399">
        <v>1754</v>
      </c>
      <c r="AA35" s="399">
        <v>3686</v>
      </c>
      <c r="AB35" s="399">
        <v>1197</v>
      </c>
      <c r="AC35" s="399">
        <v>1346</v>
      </c>
      <c r="AD35" s="399">
        <v>2388</v>
      </c>
      <c r="AE35" s="399">
        <v>2351</v>
      </c>
      <c r="AF35" s="400">
        <v>1054</v>
      </c>
      <c r="AG35" s="400">
        <v>746</v>
      </c>
      <c r="AH35" s="400">
        <v>791</v>
      </c>
      <c r="AI35" s="400">
        <v>305</v>
      </c>
      <c r="AJ35" s="400">
        <v>204</v>
      </c>
      <c r="AK35" s="400">
        <v>366</v>
      </c>
      <c r="AL35" s="400">
        <v>601</v>
      </c>
    </row>
    <row r="36" spans="1:38" ht="18.75" x14ac:dyDescent="0.25">
      <c r="A36" s="202">
        <v>35</v>
      </c>
      <c r="B36" s="207" t="s">
        <v>448</v>
      </c>
      <c r="C36" s="204">
        <v>2702</v>
      </c>
      <c r="D36" s="205">
        <v>1540</v>
      </c>
      <c r="E36" s="205">
        <v>75</v>
      </c>
      <c r="F36" s="205">
        <v>893</v>
      </c>
      <c r="G36" s="206">
        <v>1141</v>
      </c>
      <c r="J36" s="207" t="s">
        <v>447</v>
      </c>
      <c r="K36" s="397">
        <v>10803</v>
      </c>
      <c r="L36" s="397">
        <v>4015</v>
      </c>
      <c r="M36" s="397">
        <v>5076</v>
      </c>
      <c r="N36" s="397">
        <v>3532</v>
      </c>
      <c r="O36" s="397">
        <v>3204</v>
      </c>
      <c r="P36" s="397">
        <v>2788</v>
      </c>
      <c r="Q36" s="397">
        <v>1858</v>
      </c>
      <c r="R36" s="398">
        <v>1748</v>
      </c>
      <c r="S36" s="398">
        <v>1254</v>
      </c>
      <c r="T36" s="398">
        <v>1663</v>
      </c>
      <c r="U36" s="398">
        <v>1025</v>
      </c>
      <c r="V36" s="398">
        <v>997</v>
      </c>
      <c r="W36" s="398">
        <v>1466</v>
      </c>
      <c r="X36" s="398">
        <v>838</v>
      </c>
      <c r="Y36" s="399">
        <v>11102</v>
      </c>
      <c r="Z36" s="399">
        <v>4143</v>
      </c>
      <c r="AA36" s="399">
        <v>7298</v>
      </c>
      <c r="AB36" s="399">
        <v>4075</v>
      </c>
      <c r="AC36" s="399">
        <v>3379</v>
      </c>
      <c r="AD36" s="399">
        <v>6322</v>
      </c>
      <c r="AE36" s="399">
        <v>2047</v>
      </c>
      <c r="AF36" s="400">
        <v>2291</v>
      </c>
      <c r="AG36" s="400">
        <v>1872</v>
      </c>
      <c r="AH36" s="400">
        <v>2169</v>
      </c>
      <c r="AI36" s="400">
        <v>1383</v>
      </c>
      <c r="AJ36" s="400">
        <v>1267</v>
      </c>
      <c r="AK36" s="400">
        <v>1932</v>
      </c>
      <c r="AL36" s="400">
        <v>1145</v>
      </c>
    </row>
    <row r="37" spans="1:38" ht="18.75" x14ac:dyDescent="0.25">
      <c r="A37" s="202">
        <v>36</v>
      </c>
      <c r="B37" s="207" t="s">
        <v>449</v>
      </c>
      <c r="C37" s="204">
        <v>5506</v>
      </c>
      <c r="D37" s="205">
        <v>2953</v>
      </c>
      <c r="E37" s="205">
        <v>151</v>
      </c>
      <c r="F37" s="205">
        <v>1672</v>
      </c>
      <c r="G37" s="206">
        <v>2787</v>
      </c>
      <c r="J37" s="207" t="s">
        <v>448</v>
      </c>
      <c r="K37" s="397">
        <v>1151</v>
      </c>
      <c r="L37" s="397">
        <v>282</v>
      </c>
      <c r="M37" s="397">
        <v>1567</v>
      </c>
      <c r="N37" s="397">
        <v>528</v>
      </c>
      <c r="O37" s="397">
        <v>334</v>
      </c>
      <c r="P37" s="397">
        <v>670</v>
      </c>
      <c r="Q37" s="397">
        <v>424</v>
      </c>
      <c r="R37" s="398">
        <v>200</v>
      </c>
      <c r="S37" s="398">
        <v>80</v>
      </c>
      <c r="T37" s="398">
        <v>500</v>
      </c>
      <c r="U37" s="398">
        <v>175</v>
      </c>
      <c r="V37" s="398">
        <v>140</v>
      </c>
      <c r="W37" s="398">
        <v>416</v>
      </c>
      <c r="X37" s="398">
        <v>180</v>
      </c>
      <c r="Y37" s="399">
        <v>1106</v>
      </c>
      <c r="Z37" s="399">
        <v>389</v>
      </c>
      <c r="AA37" s="399">
        <v>1388</v>
      </c>
      <c r="AB37" s="399">
        <v>555</v>
      </c>
      <c r="AC37" s="399">
        <v>503</v>
      </c>
      <c r="AD37" s="399">
        <v>1007</v>
      </c>
      <c r="AE37" s="399">
        <v>637</v>
      </c>
      <c r="AF37" s="400">
        <v>200</v>
      </c>
      <c r="AG37" s="400">
        <v>80</v>
      </c>
      <c r="AH37" s="400">
        <v>543</v>
      </c>
      <c r="AI37" s="400">
        <v>225</v>
      </c>
      <c r="AJ37" s="400">
        <v>210</v>
      </c>
      <c r="AK37" s="400">
        <v>624</v>
      </c>
      <c r="AL37" s="400">
        <v>270</v>
      </c>
    </row>
    <row r="38" spans="1:38" ht="18.75" x14ac:dyDescent="0.25">
      <c r="A38" s="202">
        <v>37</v>
      </c>
      <c r="B38" s="207" t="s">
        <v>450</v>
      </c>
      <c r="C38" s="204">
        <v>6249</v>
      </c>
      <c r="D38" s="205">
        <v>3486</v>
      </c>
      <c r="E38" s="205">
        <v>184</v>
      </c>
      <c r="F38" s="205">
        <v>1915</v>
      </c>
      <c r="G38" s="206">
        <v>2931</v>
      </c>
      <c r="J38" s="207" t="s">
        <v>449</v>
      </c>
      <c r="K38" s="397">
        <v>2217</v>
      </c>
      <c r="L38" s="397">
        <v>730</v>
      </c>
      <c r="M38" s="397">
        <v>2759</v>
      </c>
      <c r="N38" s="397">
        <v>1050</v>
      </c>
      <c r="O38" s="397">
        <v>1093</v>
      </c>
      <c r="P38" s="397">
        <v>1674</v>
      </c>
      <c r="Q38" s="397">
        <v>182</v>
      </c>
      <c r="R38" s="398">
        <v>1461</v>
      </c>
      <c r="S38" s="398">
        <v>478</v>
      </c>
      <c r="T38" s="398">
        <v>804</v>
      </c>
      <c r="U38" s="398">
        <v>218</v>
      </c>
      <c r="V38" s="398">
        <v>249</v>
      </c>
      <c r="W38" s="398">
        <v>637</v>
      </c>
      <c r="X38" s="398">
        <v>53</v>
      </c>
      <c r="Y38" s="399">
        <v>2192</v>
      </c>
      <c r="Z38" s="399">
        <v>815</v>
      </c>
      <c r="AA38" s="399">
        <v>3064</v>
      </c>
      <c r="AB38" s="399">
        <v>1187</v>
      </c>
      <c r="AC38" s="399">
        <v>1220</v>
      </c>
      <c r="AD38" s="399">
        <v>2040</v>
      </c>
      <c r="AE38" s="399">
        <v>724</v>
      </c>
      <c r="AF38" s="400">
        <v>1497</v>
      </c>
      <c r="AG38" s="400">
        <v>503</v>
      </c>
      <c r="AH38" s="400">
        <v>864</v>
      </c>
      <c r="AI38" s="400">
        <v>229</v>
      </c>
      <c r="AJ38" s="400">
        <v>318</v>
      </c>
      <c r="AK38" s="400">
        <v>686</v>
      </c>
      <c r="AL38" s="400">
        <v>296</v>
      </c>
    </row>
    <row r="39" spans="1:38" ht="18.75" x14ac:dyDescent="0.25">
      <c r="A39" s="202">
        <v>38</v>
      </c>
      <c r="B39" s="207" t="s">
        <v>451</v>
      </c>
      <c r="C39" s="204">
        <v>4164</v>
      </c>
      <c r="D39" s="205">
        <v>2291</v>
      </c>
      <c r="E39" s="205">
        <v>110</v>
      </c>
      <c r="F39" s="205">
        <v>1248</v>
      </c>
      <c r="G39" s="206">
        <v>2049</v>
      </c>
      <c r="J39" s="207" t="s">
        <v>450</v>
      </c>
      <c r="K39" s="397">
        <v>3055</v>
      </c>
      <c r="L39" s="397">
        <v>1150</v>
      </c>
      <c r="M39" s="397">
        <v>3067</v>
      </c>
      <c r="N39" s="397">
        <v>1268</v>
      </c>
      <c r="O39" s="397">
        <v>1066</v>
      </c>
      <c r="P39" s="397">
        <v>1134</v>
      </c>
      <c r="Q39" s="397">
        <v>745</v>
      </c>
      <c r="R39" s="398">
        <v>947</v>
      </c>
      <c r="S39" s="398">
        <v>502</v>
      </c>
      <c r="T39" s="398">
        <v>562</v>
      </c>
      <c r="U39" s="398">
        <v>464</v>
      </c>
      <c r="V39" s="398">
        <v>487</v>
      </c>
      <c r="W39" s="398">
        <v>750</v>
      </c>
      <c r="X39" s="398">
        <v>367</v>
      </c>
      <c r="Y39" s="399">
        <v>2765</v>
      </c>
      <c r="Z39" s="399">
        <v>1085</v>
      </c>
      <c r="AA39" s="399">
        <v>3348</v>
      </c>
      <c r="AB39" s="399">
        <v>1450</v>
      </c>
      <c r="AC39" s="399">
        <v>1381</v>
      </c>
      <c r="AD39" s="399">
        <v>1392</v>
      </c>
      <c r="AE39" s="399">
        <v>1475</v>
      </c>
      <c r="AF39" s="400">
        <v>906</v>
      </c>
      <c r="AG39" s="400">
        <v>661</v>
      </c>
      <c r="AH39" s="400">
        <v>978</v>
      </c>
      <c r="AI39" s="400">
        <v>621</v>
      </c>
      <c r="AJ39" s="400">
        <v>612</v>
      </c>
      <c r="AK39" s="400">
        <v>754</v>
      </c>
      <c r="AL39" s="400">
        <v>569</v>
      </c>
    </row>
    <row r="40" spans="1:38" ht="18.75" x14ac:dyDescent="0.25">
      <c r="A40" s="202">
        <v>39</v>
      </c>
      <c r="B40" s="207" t="s">
        <v>452</v>
      </c>
      <c r="C40" s="204">
        <v>3949</v>
      </c>
      <c r="D40" s="205">
        <v>2204</v>
      </c>
      <c r="E40" s="205">
        <v>112</v>
      </c>
      <c r="F40" s="205">
        <v>1270</v>
      </c>
      <c r="G40" s="206">
        <v>1902</v>
      </c>
      <c r="J40" s="207" t="s">
        <v>451</v>
      </c>
      <c r="K40" s="397">
        <v>1813</v>
      </c>
      <c r="L40" s="397">
        <v>1062</v>
      </c>
      <c r="M40" s="397">
        <v>1431</v>
      </c>
      <c r="N40" s="397">
        <v>1113</v>
      </c>
      <c r="O40" s="397">
        <v>1047</v>
      </c>
      <c r="P40" s="397">
        <v>1179</v>
      </c>
      <c r="Q40" s="397">
        <v>395</v>
      </c>
      <c r="R40" s="398">
        <v>471</v>
      </c>
      <c r="S40" s="398">
        <v>401</v>
      </c>
      <c r="T40" s="398">
        <v>643</v>
      </c>
      <c r="U40" s="398">
        <v>604</v>
      </c>
      <c r="V40" s="398">
        <v>385</v>
      </c>
      <c r="W40" s="398">
        <v>475</v>
      </c>
      <c r="X40" s="398">
        <v>150</v>
      </c>
      <c r="Y40" s="399">
        <v>1758</v>
      </c>
      <c r="Z40" s="399">
        <v>1051</v>
      </c>
      <c r="AA40" s="399">
        <v>1411</v>
      </c>
      <c r="AB40" s="399">
        <v>1153</v>
      </c>
      <c r="AC40" s="399">
        <v>1089</v>
      </c>
      <c r="AD40" s="399">
        <v>1209</v>
      </c>
      <c r="AE40" s="399">
        <v>504</v>
      </c>
      <c r="AF40" s="400">
        <v>506</v>
      </c>
      <c r="AG40" s="400">
        <v>414</v>
      </c>
      <c r="AH40" s="400">
        <v>726</v>
      </c>
      <c r="AI40" s="400">
        <v>502</v>
      </c>
      <c r="AJ40" s="400">
        <v>295</v>
      </c>
      <c r="AK40" s="400">
        <v>461</v>
      </c>
      <c r="AL40" s="400">
        <v>180</v>
      </c>
    </row>
    <row r="41" spans="1:38" ht="18.75" x14ac:dyDescent="0.25">
      <c r="A41" s="202">
        <v>40</v>
      </c>
      <c r="B41" s="207" t="s">
        <v>453</v>
      </c>
      <c r="C41" s="204">
        <v>2819</v>
      </c>
      <c r="D41" s="205">
        <v>1549</v>
      </c>
      <c r="E41" s="205">
        <v>79</v>
      </c>
      <c r="F41" s="205">
        <v>862</v>
      </c>
      <c r="G41" s="206">
        <v>1404</v>
      </c>
      <c r="J41" s="207" t="s">
        <v>452</v>
      </c>
      <c r="K41" s="397">
        <v>1975</v>
      </c>
      <c r="L41" s="397">
        <v>451</v>
      </c>
      <c r="M41" s="397">
        <v>1630</v>
      </c>
      <c r="N41" s="397">
        <v>578</v>
      </c>
      <c r="O41" s="397">
        <v>662</v>
      </c>
      <c r="P41" s="397">
        <v>1249</v>
      </c>
      <c r="Q41" s="397">
        <v>826</v>
      </c>
      <c r="R41" s="398">
        <v>731</v>
      </c>
      <c r="S41" s="398">
        <v>167</v>
      </c>
      <c r="T41" s="398">
        <v>603</v>
      </c>
      <c r="U41" s="398">
        <v>214</v>
      </c>
      <c r="V41" s="398">
        <v>245</v>
      </c>
      <c r="W41" s="398">
        <v>462</v>
      </c>
      <c r="X41" s="398">
        <v>306</v>
      </c>
      <c r="Y41" s="399">
        <v>2248</v>
      </c>
      <c r="Z41" s="399">
        <v>509</v>
      </c>
      <c r="AA41" s="399">
        <v>1860</v>
      </c>
      <c r="AB41" s="399">
        <v>652</v>
      </c>
      <c r="AC41" s="399">
        <v>747</v>
      </c>
      <c r="AD41" s="399">
        <v>1434</v>
      </c>
      <c r="AE41" s="399">
        <v>932</v>
      </c>
      <c r="AF41" s="400">
        <v>835</v>
      </c>
      <c r="AG41" s="400">
        <v>191</v>
      </c>
      <c r="AH41" s="400">
        <v>691</v>
      </c>
      <c r="AI41" s="400">
        <v>244</v>
      </c>
      <c r="AJ41" s="400">
        <v>279</v>
      </c>
      <c r="AK41" s="400">
        <v>533</v>
      </c>
      <c r="AL41" s="400">
        <v>350</v>
      </c>
    </row>
    <row r="42" spans="1:38" ht="18.75" x14ac:dyDescent="0.25">
      <c r="A42" s="202">
        <v>41</v>
      </c>
      <c r="B42" s="207" t="s">
        <v>454</v>
      </c>
      <c r="C42" s="204">
        <v>6915</v>
      </c>
      <c r="D42" s="205">
        <v>3537</v>
      </c>
      <c r="E42" s="205">
        <v>178</v>
      </c>
      <c r="F42" s="205">
        <v>1825</v>
      </c>
      <c r="G42" s="206">
        <v>3942</v>
      </c>
      <c r="J42" s="207" t="s">
        <v>453</v>
      </c>
      <c r="K42" s="397">
        <v>1083</v>
      </c>
      <c r="L42" s="397">
        <v>767</v>
      </c>
      <c r="M42" s="397">
        <v>1312</v>
      </c>
      <c r="N42" s="397">
        <v>352</v>
      </c>
      <c r="O42" s="397">
        <v>667</v>
      </c>
      <c r="P42" s="397">
        <v>1208</v>
      </c>
      <c r="Q42" s="397">
        <v>459</v>
      </c>
      <c r="R42" s="398">
        <v>290</v>
      </c>
      <c r="S42" s="398">
        <v>230</v>
      </c>
      <c r="T42" s="398">
        <v>249</v>
      </c>
      <c r="U42" s="398">
        <v>112</v>
      </c>
      <c r="V42" s="398">
        <v>400</v>
      </c>
      <c r="W42" s="398">
        <v>574</v>
      </c>
      <c r="X42" s="398">
        <v>224</v>
      </c>
      <c r="Y42" s="399">
        <v>1454</v>
      </c>
      <c r="Z42" s="399">
        <v>312</v>
      </c>
      <c r="AA42" s="399">
        <v>1538</v>
      </c>
      <c r="AB42" s="399">
        <v>435</v>
      </c>
      <c r="AC42" s="399">
        <v>860</v>
      </c>
      <c r="AD42" s="399">
        <v>1209</v>
      </c>
      <c r="AE42" s="399">
        <v>806</v>
      </c>
      <c r="AF42" s="400">
        <v>436</v>
      </c>
      <c r="AG42" s="400">
        <v>89</v>
      </c>
      <c r="AH42" s="400">
        <v>356</v>
      </c>
      <c r="AI42" s="400">
        <v>200</v>
      </c>
      <c r="AJ42" s="400">
        <v>358</v>
      </c>
      <c r="AK42" s="400">
        <v>463</v>
      </c>
      <c r="AL42" s="400">
        <v>242</v>
      </c>
    </row>
    <row r="43" spans="1:38" ht="18.75" x14ac:dyDescent="0.25">
      <c r="A43" s="202">
        <v>42</v>
      </c>
      <c r="B43" s="207" t="s">
        <v>455</v>
      </c>
      <c r="C43" s="204">
        <v>3444</v>
      </c>
      <c r="D43" s="205">
        <v>1986</v>
      </c>
      <c r="E43" s="205">
        <v>99</v>
      </c>
      <c r="F43" s="205">
        <v>1082</v>
      </c>
      <c r="G43" s="206">
        <v>1587</v>
      </c>
      <c r="J43" s="207" t="s">
        <v>454</v>
      </c>
      <c r="K43" s="397">
        <v>3515</v>
      </c>
      <c r="L43" s="397">
        <v>1300</v>
      </c>
      <c r="M43" s="397">
        <v>3658</v>
      </c>
      <c r="N43" s="397">
        <v>1300</v>
      </c>
      <c r="O43" s="397">
        <v>1100</v>
      </c>
      <c r="P43" s="397">
        <v>1200</v>
      </c>
      <c r="Q43" s="397">
        <v>444</v>
      </c>
      <c r="R43" s="398">
        <v>1495</v>
      </c>
      <c r="S43" s="398">
        <v>658</v>
      </c>
      <c r="T43" s="398">
        <v>1360</v>
      </c>
      <c r="U43" s="398">
        <v>350</v>
      </c>
      <c r="V43" s="398">
        <v>320</v>
      </c>
      <c r="W43" s="398">
        <v>795</v>
      </c>
      <c r="X43" s="398">
        <v>270</v>
      </c>
      <c r="Y43" s="399">
        <v>3420</v>
      </c>
      <c r="Z43" s="399">
        <v>1235</v>
      </c>
      <c r="AA43" s="399">
        <v>4000</v>
      </c>
      <c r="AB43" s="399">
        <v>1600</v>
      </c>
      <c r="AC43" s="399">
        <v>1400</v>
      </c>
      <c r="AD43" s="399">
        <v>1900</v>
      </c>
      <c r="AE43" s="399">
        <v>1200</v>
      </c>
      <c r="AF43" s="400">
        <v>1205</v>
      </c>
      <c r="AG43" s="400">
        <v>789</v>
      </c>
      <c r="AH43" s="400">
        <v>1272</v>
      </c>
      <c r="AI43" s="400">
        <v>370</v>
      </c>
      <c r="AJ43" s="400">
        <v>360</v>
      </c>
      <c r="AK43" s="400">
        <v>830</v>
      </c>
      <c r="AL43" s="400">
        <v>783</v>
      </c>
    </row>
    <row r="44" spans="1:38" ht="18.75" x14ac:dyDescent="0.25">
      <c r="A44" s="202">
        <v>43</v>
      </c>
      <c r="B44" s="207" t="s">
        <v>456</v>
      </c>
      <c r="C44" s="204">
        <v>2993</v>
      </c>
      <c r="D44" s="205">
        <v>1795</v>
      </c>
      <c r="E44" s="205">
        <v>92</v>
      </c>
      <c r="F44" s="205">
        <v>1060</v>
      </c>
      <c r="G44" s="206">
        <v>1278</v>
      </c>
      <c r="J44" s="207" t="s">
        <v>455</v>
      </c>
      <c r="K44" s="397">
        <v>2317</v>
      </c>
      <c r="L44" s="397">
        <v>1179</v>
      </c>
      <c r="M44" s="397">
        <v>987</v>
      </c>
      <c r="N44" s="397">
        <v>896</v>
      </c>
      <c r="O44" s="397">
        <v>618</v>
      </c>
      <c r="P44" s="397">
        <v>599</v>
      </c>
      <c r="Q44" s="397">
        <v>428</v>
      </c>
      <c r="R44" s="398">
        <v>479</v>
      </c>
      <c r="S44" s="398">
        <v>549</v>
      </c>
      <c r="T44" s="398">
        <v>142</v>
      </c>
      <c r="U44" s="398">
        <v>294</v>
      </c>
      <c r="V44" s="398">
        <v>267</v>
      </c>
      <c r="W44" s="398">
        <v>237</v>
      </c>
      <c r="X44" s="398">
        <v>417</v>
      </c>
      <c r="Y44" s="399">
        <v>2557</v>
      </c>
      <c r="Z44" s="399">
        <v>2216</v>
      </c>
      <c r="AA44" s="399">
        <v>1123</v>
      </c>
      <c r="AB44" s="399">
        <v>364</v>
      </c>
      <c r="AC44" s="399">
        <v>317</v>
      </c>
      <c r="AD44" s="399">
        <v>263</v>
      </c>
      <c r="AE44" s="399">
        <v>969</v>
      </c>
      <c r="AF44" s="400">
        <v>517</v>
      </c>
      <c r="AG44" s="400">
        <v>669</v>
      </c>
      <c r="AH44" s="400">
        <v>156</v>
      </c>
      <c r="AI44" s="400">
        <v>314</v>
      </c>
      <c r="AJ44" s="400">
        <v>293</v>
      </c>
      <c r="AK44" s="400">
        <v>248</v>
      </c>
      <c r="AL44" s="400">
        <v>449</v>
      </c>
    </row>
    <row r="45" spans="1:38" ht="18.75" x14ac:dyDescent="0.25">
      <c r="A45" s="202">
        <v>44</v>
      </c>
      <c r="B45" s="207" t="s">
        <v>457</v>
      </c>
      <c r="C45" s="204">
        <v>6540</v>
      </c>
      <c r="D45" s="205">
        <v>3394</v>
      </c>
      <c r="E45" s="205">
        <v>178</v>
      </c>
      <c r="F45" s="205">
        <v>1926</v>
      </c>
      <c r="G45" s="206">
        <v>3532</v>
      </c>
      <c r="J45" s="207" t="s">
        <v>456</v>
      </c>
      <c r="K45" s="397">
        <v>926</v>
      </c>
      <c r="L45" s="397">
        <v>909</v>
      </c>
      <c r="M45" s="397">
        <v>974</v>
      </c>
      <c r="N45" s="397">
        <v>1023</v>
      </c>
      <c r="O45" s="397">
        <v>580</v>
      </c>
      <c r="P45" s="397">
        <v>562</v>
      </c>
      <c r="Q45" s="397">
        <v>630</v>
      </c>
      <c r="R45" s="398">
        <v>390</v>
      </c>
      <c r="S45" s="398">
        <v>382</v>
      </c>
      <c r="T45" s="398">
        <v>198</v>
      </c>
      <c r="U45" s="398">
        <v>202</v>
      </c>
      <c r="V45" s="398">
        <v>306</v>
      </c>
      <c r="W45" s="398">
        <v>264</v>
      </c>
      <c r="X45" s="398">
        <v>320</v>
      </c>
      <c r="Y45" s="399">
        <v>831</v>
      </c>
      <c r="Z45" s="399">
        <v>815</v>
      </c>
      <c r="AA45" s="399">
        <v>763</v>
      </c>
      <c r="AB45" s="399">
        <v>809</v>
      </c>
      <c r="AC45" s="399">
        <v>1119</v>
      </c>
      <c r="AD45" s="399">
        <v>1108</v>
      </c>
      <c r="AE45" s="399">
        <v>1130</v>
      </c>
      <c r="AF45" s="400">
        <v>463</v>
      </c>
      <c r="AG45" s="400">
        <v>458</v>
      </c>
      <c r="AH45" s="400">
        <v>188</v>
      </c>
      <c r="AI45" s="400">
        <v>195</v>
      </c>
      <c r="AJ45" s="400">
        <v>302</v>
      </c>
      <c r="AK45" s="400">
        <v>282</v>
      </c>
      <c r="AL45" s="400">
        <v>321</v>
      </c>
    </row>
    <row r="46" spans="1:38" ht="18.75" x14ac:dyDescent="0.25">
      <c r="A46" s="202">
        <v>45</v>
      </c>
      <c r="B46" s="207" t="s">
        <v>458</v>
      </c>
      <c r="C46" s="204">
        <v>3909</v>
      </c>
      <c r="D46" s="205">
        <v>2238</v>
      </c>
      <c r="E46" s="205">
        <v>114</v>
      </c>
      <c r="F46" s="205">
        <v>1246</v>
      </c>
      <c r="G46" s="206">
        <v>1660</v>
      </c>
      <c r="J46" s="207" t="s">
        <v>457</v>
      </c>
      <c r="K46" s="397">
        <v>2530</v>
      </c>
      <c r="L46" s="397">
        <v>2066</v>
      </c>
      <c r="M46" s="397">
        <v>1848</v>
      </c>
      <c r="N46" s="397">
        <v>1783</v>
      </c>
      <c r="O46" s="397">
        <v>1696</v>
      </c>
      <c r="P46" s="397">
        <v>1130</v>
      </c>
      <c r="Q46" s="397">
        <v>457</v>
      </c>
      <c r="R46" s="398">
        <v>810</v>
      </c>
      <c r="S46" s="398">
        <v>683</v>
      </c>
      <c r="T46" s="398">
        <v>633</v>
      </c>
      <c r="U46" s="398">
        <v>805</v>
      </c>
      <c r="V46" s="398">
        <v>760</v>
      </c>
      <c r="W46" s="398">
        <v>320</v>
      </c>
      <c r="X46" s="398">
        <v>143</v>
      </c>
      <c r="Y46" s="399">
        <v>3063</v>
      </c>
      <c r="Z46" s="399">
        <v>3060</v>
      </c>
      <c r="AA46" s="399">
        <v>3042</v>
      </c>
      <c r="AB46" s="399">
        <v>2950</v>
      </c>
      <c r="AC46" s="399">
        <v>2340</v>
      </c>
      <c r="AD46" s="399">
        <v>1940</v>
      </c>
      <c r="AE46" s="399">
        <v>870</v>
      </c>
      <c r="AF46" s="400">
        <v>1015</v>
      </c>
      <c r="AG46" s="400">
        <v>1000</v>
      </c>
      <c r="AH46" s="400">
        <v>1010</v>
      </c>
      <c r="AI46" s="400">
        <v>968</v>
      </c>
      <c r="AJ46" s="400">
        <v>875</v>
      </c>
      <c r="AK46" s="400">
        <v>760</v>
      </c>
      <c r="AL46" s="400">
        <v>290</v>
      </c>
    </row>
    <row r="47" spans="1:38" ht="18.75" x14ac:dyDescent="0.25">
      <c r="A47" s="202">
        <v>46</v>
      </c>
      <c r="B47" s="207" t="s">
        <v>459</v>
      </c>
      <c r="C47" s="204">
        <v>9380</v>
      </c>
      <c r="D47" s="205">
        <v>5055</v>
      </c>
      <c r="E47" s="205">
        <v>257</v>
      </c>
      <c r="F47" s="205">
        <v>2881</v>
      </c>
      <c r="G47" s="206">
        <v>4749</v>
      </c>
      <c r="J47" s="207" t="s">
        <v>458</v>
      </c>
      <c r="K47" s="397">
        <v>1416</v>
      </c>
      <c r="L47" s="397">
        <v>1426</v>
      </c>
      <c r="M47" s="397">
        <v>1569</v>
      </c>
      <c r="N47" s="397">
        <v>1296</v>
      </c>
      <c r="O47" s="397">
        <v>1175</v>
      </c>
      <c r="P47" s="397">
        <v>1185</v>
      </c>
      <c r="Q47" s="397">
        <v>1169</v>
      </c>
      <c r="R47" s="398">
        <v>452</v>
      </c>
      <c r="S47" s="398">
        <v>435</v>
      </c>
      <c r="T47" s="398">
        <v>404</v>
      </c>
      <c r="U47" s="398">
        <v>390</v>
      </c>
      <c r="V47" s="398">
        <v>371</v>
      </c>
      <c r="W47" s="398">
        <v>352</v>
      </c>
      <c r="X47" s="398">
        <v>340</v>
      </c>
      <c r="Y47" s="399">
        <v>1416</v>
      </c>
      <c r="Z47" s="399">
        <v>1439</v>
      </c>
      <c r="AA47" s="399">
        <v>1560</v>
      </c>
      <c r="AB47" s="399">
        <v>1301</v>
      </c>
      <c r="AC47" s="399">
        <v>1134</v>
      </c>
      <c r="AD47" s="399">
        <v>1198</v>
      </c>
      <c r="AE47" s="399">
        <v>1117</v>
      </c>
      <c r="AF47" s="400">
        <v>460</v>
      </c>
      <c r="AG47" s="400">
        <v>438</v>
      </c>
      <c r="AH47" s="400">
        <v>436</v>
      </c>
      <c r="AI47" s="400">
        <v>396</v>
      </c>
      <c r="AJ47" s="400">
        <v>398</v>
      </c>
      <c r="AK47" s="400">
        <v>357</v>
      </c>
      <c r="AL47" s="400">
        <v>340</v>
      </c>
    </row>
    <row r="48" spans="1:38" ht="18.75" x14ac:dyDescent="0.25">
      <c r="A48" s="202">
        <v>47</v>
      </c>
      <c r="B48" s="207" t="s">
        <v>460</v>
      </c>
      <c r="C48" s="204">
        <v>3449</v>
      </c>
      <c r="D48" s="205">
        <v>1856</v>
      </c>
      <c r="E48" s="205">
        <v>92</v>
      </c>
      <c r="F48" s="205">
        <v>1005</v>
      </c>
      <c r="G48" s="206">
        <v>1758</v>
      </c>
      <c r="J48" s="207" t="s">
        <v>459</v>
      </c>
      <c r="K48" s="397">
        <v>6099</v>
      </c>
      <c r="L48" s="397">
        <v>2457</v>
      </c>
      <c r="M48" s="397">
        <v>2312</v>
      </c>
      <c r="N48" s="397">
        <v>2156</v>
      </c>
      <c r="O48" s="397">
        <v>1056</v>
      </c>
      <c r="P48" s="397">
        <v>1248</v>
      </c>
      <c r="Q48" s="397">
        <v>1600</v>
      </c>
      <c r="R48" s="398">
        <v>2725</v>
      </c>
      <c r="S48" s="398">
        <v>819</v>
      </c>
      <c r="T48" s="398">
        <v>710</v>
      </c>
      <c r="U48" s="398">
        <v>712</v>
      </c>
      <c r="V48" s="398">
        <v>559</v>
      </c>
      <c r="W48" s="398">
        <v>518</v>
      </c>
      <c r="X48" s="398">
        <v>612</v>
      </c>
      <c r="Y48" s="399">
        <v>5783</v>
      </c>
      <c r="Z48" s="399">
        <v>2618</v>
      </c>
      <c r="AA48" s="399">
        <v>2514</v>
      </c>
      <c r="AB48" s="399">
        <v>2118</v>
      </c>
      <c r="AC48" s="399">
        <v>1159</v>
      </c>
      <c r="AD48" s="399">
        <v>1345</v>
      </c>
      <c r="AE48" s="399">
        <v>4363</v>
      </c>
      <c r="AF48" s="400">
        <v>2665</v>
      </c>
      <c r="AG48" s="400">
        <v>854</v>
      </c>
      <c r="AH48" s="400">
        <v>828</v>
      </c>
      <c r="AI48" s="400">
        <v>729</v>
      </c>
      <c r="AJ48" s="400">
        <v>753</v>
      </c>
      <c r="AK48" s="400">
        <v>545</v>
      </c>
      <c r="AL48" s="400">
        <v>1100</v>
      </c>
    </row>
    <row r="49" spans="1:38" ht="19.5" customHeight="1" x14ac:dyDescent="0.25">
      <c r="A49" s="202">
        <v>48</v>
      </c>
      <c r="B49" s="207" t="s">
        <v>461</v>
      </c>
      <c r="C49" s="204">
        <v>5914</v>
      </c>
      <c r="D49" s="205">
        <v>3269</v>
      </c>
      <c r="E49" s="205">
        <v>162</v>
      </c>
      <c r="F49" s="205">
        <v>1825</v>
      </c>
      <c r="G49" s="206">
        <v>2847</v>
      </c>
      <c r="J49" s="207" t="s">
        <v>460</v>
      </c>
      <c r="K49" s="397">
        <v>1221</v>
      </c>
      <c r="L49" s="397">
        <v>1361</v>
      </c>
      <c r="M49" s="397">
        <v>1189</v>
      </c>
      <c r="N49" s="397">
        <v>400</v>
      </c>
      <c r="O49" s="397">
        <v>1048</v>
      </c>
      <c r="P49" s="397">
        <v>672</v>
      </c>
      <c r="Q49" s="397">
        <v>519</v>
      </c>
      <c r="R49" s="398">
        <v>267</v>
      </c>
      <c r="S49" s="398">
        <v>294</v>
      </c>
      <c r="T49" s="398">
        <v>250</v>
      </c>
      <c r="U49" s="398">
        <v>283</v>
      </c>
      <c r="V49" s="398">
        <v>524</v>
      </c>
      <c r="W49" s="398">
        <v>398</v>
      </c>
      <c r="X49" s="398">
        <v>333</v>
      </c>
      <c r="Y49" s="399">
        <v>1419</v>
      </c>
      <c r="Z49" s="399">
        <v>1367</v>
      </c>
      <c r="AA49" s="399">
        <v>1354</v>
      </c>
      <c r="AB49" s="399">
        <v>600</v>
      </c>
      <c r="AC49" s="399">
        <v>1196</v>
      </c>
      <c r="AD49" s="399">
        <v>635</v>
      </c>
      <c r="AE49" s="399">
        <v>860</v>
      </c>
      <c r="AF49" s="400">
        <v>255</v>
      </c>
      <c r="AG49" s="400">
        <v>315</v>
      </c>
      <c r="AH49" s="400">
        <v>288</v>
      </c>
      <c r="AI49" s="400">
        <v>292</v>
      </c>
      <c r="AJ49" s="400">
        <v>509</v>
      </c>
      <c r="AK49" s="400">
        <v>527</v>
      </c>
      <c r="AL49" s="400">
        <v>672</v>
      </c>
    </row>
    <row r="50" spans="1:38" ht="18.75" x14ac:dyDescent="0.25">
      <c r="A50" s="202">
        <v>49</v>
      </c>
      <c r="B50" s="207" t="s">
        <v>462</v>
      </c>
      <c r="C50" s="204">
        <v>11979</v>
      </c>
      <c r="D50" s="205">
        <v>6859</v>
      </c>
      <c r="E50" s="205">
        <v>355</v>
      </c>
      <c r="F50" s="205">
        <v>4042</v>
      </c>
      <c r="G50" s="206">
        <v>5048</v>
      </c>
      <c r="J50" s="207" t="s">
        <v>461</v>
      </c>
      <c r="K50" s="397">
        <v>3699</v>
      </c>
      <c r="L50" s="397">
        <v>1466</v>
      </c>
      <c r="M50" s="397">
        <v>3480</v>
      </c>
      <c r="N50" s="397">
        <v>1304</v>
      </c>
      <c r="O50" s="397">
        <v>1092</v>
      </c>
      <c r="P50" s="397">
        <v>1010</v>
      </c>
      <c r="Q50" s="397">
        <v>924</v>
      </c>
      <c r="R50" s="398">
        <v>903</v>
      </c>
      <c r="S50" s="398">
        <v>789</v>
      </c>
      <c r="T50" s="398">
        <v>600</v>
      </c>
      <c r="U50" s="398">
        <v>600</v>
      </c>
      <c r="V50" s="398">
        <v>535</v>
      </c>
      <c r="W50" s="398">
        <v>425</v>
      </c>
      <c r="X50" s="398">
        <v>400</v>
      </c>
      <c r="Y50" s="399">
        <v>3003</v>
      </c>
      <c r="Z50" s="399">
        <v>1022</v>
      </c>
      <c r="AA50" s="399">
        <v>3095</v>
      </c>
      <c r="AB50" s="399">
        <v>1348</v>
      </c>
      <c r="AC50" s="399">
        <v>1243</v>
      </c>
      <c r="AD50" s="399">
        <v>1884</v>
      </c>
      <c r="AE50" s="399">
        <v>1524</v>
      </c>
      <c r="AF50" s="400">
        <v>920</v>
      </c>
      <c r="AG50" s="400">
        <v>910</v>
      </c>
      <c r="AH50" s="400">
        <v>712</v>
      </c>
      <c r="AI50" s="400">
        <v>587</v>
      </c>
      <c r="AJ50" s="400">
        <v>530</v>
      </c>
      <c r="AK50" s="400">
        <v>435</v>
      </c>
      <c r="AL50" s="400">
        <v>415</v>
      </c>
    </row>
    <row r="51" spans="1:38" ht="18.75" x14ac:dyDescent="0.25">
      <c r="A51" s="202">
        <v>50</v>
      </c>
      <c r="B51" s="207" t="s">
        <v>463</v>
      </c>
      <c r="C51" s="204">
        <v>8185</v>
      </c>
      <c r="D51" s="205">
        <v>4311</v>
      </c>
      <c r="E51" s="205">
        <v>233</v>
      </c>
      <c r="F51" s="205">
        <v>2499</v>
      </c>
      <c r="G51" s="206">
        <v>4145</v>
      </c>
      <c r="J51" s="207" t="s">
        <v>462</v>
      </c>
      <c r="K51" s="397">
        <v>5554</v>
      </c>
      <c r="L51" s="397">
        <v>2120</v>
      </c>
      <c r="M51" s="397">
        <v>5670</v>
      </c>
      <c r="N51" s="397">
        <v>2228</v>
      </c>
      <c r="O51" s="397">
        <v>2192</v>
      </c>
      <c r="P51" s="397">
        <v>1739</v>
      </c>
      <c r="Q51" s="397">
        <v>3787</v>
      </c>
      <c r="R51" s="398">
        <v>556</v>
      </c>
      <c r="S51" s="398">
        <v>317</v>
      </c>
      <c r="T51" s="398">
        <v>1942</v>
      </c>
      <c r="U51" s="398">
        <v>671</v>
      </c>
      <c r="V51" s="398">
        <v>713</v>
      </c>
      <c r="W51" s="398">
        <v>719</v>
      </c>
      <c r="X51" s="398">
        <v>1195</v>
      </c>
      <c r="Y51" s="399">
        <v>5761</v>
      </c>
      <c r="Z51" s="399">
        <v>3159</v>
      </c>
      <c r="AA51" s="399">
        <v>6752</v>
      </c>
      <c r="AB51" s="399">
        <v>2830</v>
      </c>
      <c r="AC51" s="399">
        <v>2605</v>
      </c>
      <c r="AD51" s="399">
        <v>2177</v>
      </c>
      <c r="AE51" s="399">
        <v>4322</v>
      </c>
      <c r="AF51" s="400">
        <v>675</v>
      </c>
      <c r="AG51" s="400">
        <v>1919</v>
      </c>
      <c r="AH51" s="400">
        <v>3122</v>
      </c>
      <c r="AI51" s="400">
        <v>1380</v>
      </c>
      <c r="AJ51" s="400">
        <v>1215</v>
      </c>
      <c r="AK51" s="400">
        <v>917</v>
      </c>
      <c r="AL51" s="400">
        <v>1686</v>
      </c>
    </row>
    <row r="52" spans="1:38" ht="18.75" x14ac:dyDescent="0.25">
      <c r="A52" s="202">
        <v>51</v>
      </c>
      <c r="B52" s="207" t="s">
        <v>464</v>
      </c>
      <c r="C52" s="204">
        <v>2889</v>
      </c>
      <c r="D52" s="205">
        <v>1594</v>
      </c>
      <c r="E52" s="205">
        <v>92</v>
      </c>
      <c r="F52" s="205">
        <v>873</v>
      </c>
      <c r="G52" s="206">
        <v>1389</v>
      </c>
      <c r="J52" s="207" t="s">
        <v>463</v>
      </c>
      <c r="K52" s="397">
        <v>4014</v>
      </c>
      <c r="L52" s="397">
        <v>2158</v>
      </c>
      <c r="M52" s="397">
        <v>5009</v>
      </c>
      <c r="N52" s="397">
        <v>2605</v>
      </c>
      <c r="O52" s="397">
        <v>609</v>
      </c>
      <c r="P52" s="397">
        <v>1718</v>
      </c>
      <c r="Q52" s="397">
        <v>413</v>
      </c>
      <c r="R52" s="398">
        <v>1439</v>
      </c>
      <c r="S52" s="398">
        <v>839</v>
      </c>
      <c r="T52" s="398">
        <v>1259</v>
      </c>
      <c r="U52" s="398">
        <v>463</v>
      </c>
      <c r="V52" s="398">
        <v>364</v>
      </c>
      <c r="W52" s="398">
        <v>1002</v>
      </c>
      <c r="X52" s="398">
        <v>142</v>
      </c>
      <c r="Y52" s="399">
        <v>3611</v>
      </c>
      <c r="Z52" s="399">
        <v>2241</v>
      </c>
      <c r="AA52" s="399">
        <v>5966</v>
      </c>
      <c r="AB52" s="399">
        <v>2483</v>
      </c>
      <c r="AC52" s="399">
        <v>1012</v>
      </c>
      <c r="AD52" s="399">
        <v>2806</v>
      </c>
      <c r="AE52" s="399">
        <v>618</v>
      </c>
      <c r="AF52" s="400">
        <v>1346</v>
      </c>
      <c r="AG52" s="400">
        <v>847</v>
      </c>
      <c r="AH52" s="400">
        <v>1969</v>
      </c>
      <c r="AI52" s="400">
        <v>487</v>
      </c>
      <c r="AJ52" s="400">
        <v>383</v>
      </c>
      <c r="AK52" s="400">
        <v>1584</v>
      </c>
      <c r="AL52" s="400">
        <v>206</v>
      </c>
    </row>
    <row r="53" spans="1:38" ht="18.75" x14ac:dyDescent="0.25">
      <c r="A53" s="202">
        <v>52</v>
      </c>
      <c r="B53" s="207" t="s">
        <v>500</v>
      </c>
      <c r="C53" s="204">
        <v>6185</v>
      </c>
      <c r="D53" s="205">
        <v>3175</v>
      </c>
      <c r="E53" s="205">
        <v>165</v>
      </c>
      <c r="F53" s="205">
        <v>1663</v>
      </c>
      <c r="G53" s="206">
        <v>2885</v>
      </c>
      <c r="J53" s="207" t="s">
        <v>464</v>
      </c>
      <c r="K53" s="397">
        <v>897</v>
      </c>
      <c r="L53" s="397">
        <v>491</v>
      </c>
      <c r="M53" s="397">
        <v>1602</v>
      </c>
      <c r="N53" s="397">
        <v>511</v>
      </c>
      <c r="O53" s="397">
        <v>1466</v>
      </c>
      <c r="P53" s="397">
        <v>493</v>
      </c>
      <c r="Q53" s="397">
        <v>133</v>
      </c>
      <c r="R53" s="398">
        <v>183</v>
      </c>
      <c r="S53" s="398">
        <v>247</v>
      </c>
      <c r="T53" s="398">
        <v>262</v>
      </c>
      <c r="U53" s="398">
        <v>487</v>
      </c>
      <c r="V53" s="398">
        <v>404</v>
      </c>
      <c r="W53" s="398">
        <v>426</v>
      </c>
      <c r="X53" s="398">
        <v>54</v>
      </c>
      <c r="Y53" s="399">
        <v>2437</v>
      </c>
      <c r="Z53" s="399">
        <v>487</v>
      </c>
      <c r="AA53" s="399">
        <v>1536</v>
      </c>
      <c r="AB53" s="399">
        <v>503</v>
      </c>
      <c r="AC53" s="399">
        <v>1658</v>
      </c>
      <c r="AD53" s="399">
        <v>481</v>
      </c>
      <c r="AE53" s="399">
        <v>97</v>
      </c>
      <c r="AF53" s="400">
        <v>232</v>
      </c>
      <c r="AG53" s="400">
        <v>352</v>
      </c>
      <c r="AH53" s="400">
        <v>304</v>
      </c>
      <c r="AI53" s="400">
        <v>496</v>
      </c>
      <c r="AJ53" s="400">
        <v>411</v>
      </c>
      <c r="AK53" s="400">
        <v>379</v>
      </c>
      <c r="AL53" s="400">
        <v>41</v>
      </c>
    </row>
    <row r="54" spans="1:38" ht="18.75" x14ac:dyDescent="0.25">
      <c r="B54" s="210" t="s">
        <v>501</v>
      </c>
      <c r="C54" s="211">
        <f>SUM(C2:C53)</f>
        <v>452877</v>
      </c>
      <c r="D54" s="211">
        <f>SUM(D2:D53)</f>
        <v>246124</v>
      </c>
      <c r="E54" s="211">
        <f>SUM(E2:E53)</f>
        <v>12258</v>
      </c>
      <c r="F54" s="211">
        <f>SUM(F2:F53)</f>
        <v>147517</v>
      </c>
      <c r="G54" s="211">
        <f>SUM(G2:G53)</f>
        <v>219191</v>
      </c>
      <c r="J54" s="207" t="s">
        <v>500</v>
      </c>
      <c r="K54" s="397">
        <v>4075</v>
      </c>
      <c r="L54" s="397">
        <v>2100</v>
      </c>
      <c r="M54" s="397">
        <v>4400</v>
      </c>
      <c r="N54" s="397">
        <v>1400</v>
      </c>
      <c r="O54" s="397">
        <v>1230</v>
      </c>
      <c r="P54" s="397">
        <v>1500</v>
      </c>
      <c r="Q54" s="397">
        <v>373</v>
      </c>
      <c r="R54" s="398">
        <v>650</v>
      </c>
      <c r="S54" s="398">
        <v>575</v>
      </c>
      <c r="T54" s="398">
        <v>1199</v>
      </c>
      <c r="U54" s="398">
        <v>435</v>
      </c>
      <c r="V54" s="398">
        <v>682</v>
      </c>
      <c r="W54" s="398">
        <v>963</v>
      </c>
      <c r="X54" s="398">
        <v>217</v>
      </c>
      <c r="Y54" s="399">
        <v>3021</v>
      </c>
      <c r="Z54" s="399">
        <v>1400</v>
      </c>
      <c r="AA54" s="399">
        <v>3275</v>
      </c>
      <c r="AB54" s="399">
        <v>1815</v>
      </c>
      <c r="AC54" s="399">
        <v>2008</v>
      </c>
      <c r="AD54" s="399">
        <v>1323</v>
      </c>
      <c r="AE54" s="399">
        <v>878</v>
      </c>
      <c r="AF54" s="400">
        <v>566</v>
      </c>
      <c r="AG54" s="400">
        <v>412</v>
      </c>
      <c r="AH54" s="400">
        <v>818</v>
      </c>
      <c r="AI54" s="400">
        <v>559</v>
      </c>
      <c r="AJ54" s="400">
        <v>494</v>
      </c>
      <c r="AK54" s="400">
        <v>912</v>
      </c>
      <c r="AL54" s="400">
        <v>588</v>
      </c>
    </row>
    <row r="55" spans="1:38" ht="18.75" x14ac:dyDescent="0.25">
      <c r="J55" s="210" t="s">
        <v>501</v>
      </c>
      <c r="K55" s="401">
        <f>SUM(K3:K54)</f>
        <v>249816</v>
      </c>
      <c r="L55" s="401">
        <f t="shared" ref="L55:AL55" si="0">SUM(L3:L54)</f>
        <v>100212</v>
      </c>
      <c r="M55" s="401">
        <f t="shared" si="0"/>
        <v>196073</v>
      </c>
      <c r="N55" s="401">
        <f t="shared" si="0"/>
        <v>96485</v>
      </c>
      <c r="O55" s="401">
        <f t="shared" si="0"/>
        <v>91709</v>
      </c>
      <c r="P55" s="401">
        <f t="shared" si="0"/>
        <v>92610</v>
      </c>
      <c r="Q55" s="401">
        <f t="shared" si="0"/>
        <v>72044</v>
      </c>
      <c r="R55" s="401">
        <f t="shared" si="0"/>
        <v>81418</v>
      </c>
      <c r="S55" s="401">
        <f t="shared" si="0"/>
        <v>38875</v>
      </c>
      <c r="T55" s="401">
        <f t="shared" si="0"/>
        <v>53140</v>
      </c>
      <c r="U55" s="401">
        <f t="shared" si="0"/>
        <v>32013</v>
      </c>
      <c r="V55" s="401">
        <f t="shared" si="0"/>
        <v>34963</v>
      </c>
      <c r="W55" s="401">
        <f t="shared" si="0"/>
        <v>37657</v>
      </c>
      <c r="X55" s="401">
        <f t="shared" si="0"/>
        <v>24444</v>
      </c>
      <c r="Y55" s="401">
        <f t="shared" si="0"/>
        <v>262031</v>
      </c>
      <c r="Z55" s="401">
        <f t="shared" si="0"/>
        <v>114828</v>
      </c>
      <c r="AA55" s="401">
        <f t="shared" si="0"/>
        <v>226942</v>
      </c>
      <c r="AB55" s="401">
        <f t="shared" si="0"/>
        <v>115419</v>
      </c>
      <c r="AC55" s="401">
        <f t="shared" si="0"/>
        <v>114748</v>
      </c>
      <c r="AD55" s="401">
        <f t="shared" si="0"/>
        <v>137929</v>
      </c>
      <c r="AE55" s="401">
        <f t="shared" si="0"/>
        <v>121152</v>
      </c>
      <c r="AF55" s="401">
        <f t="shared" si="0"/>
        <v>88941</v>
      </c>
      <c r="AG55" s="401">
        <f t="shared" si="0"/>
        <v>48244</v>
      </c>
      <c r="AH55" s="401">
        <f t="shared" si="0"/>
        <v>66225</v>
      </c>
      <c r="AI55" s="401">
        <f t="shared" si="0"/>
        <v>39156</v>
      </c>
      <c r="AJ55" s="401">
        <f t="shared" si="0"/>
        <v>41603</v>
      </c>
      <c r="AK55" s="401">
        <f t="shared" si="0"/>
        <v>49442</v>
      </c>
      <c r="AL55" s="401">
        <f t="shared" si="0"/>
        <v>35947</v>
      </c>
    </row>
  </sheetData>
  <sheetProtection password="DB70" sheet="1" objects="1" scenarios="1" autoFilter="0"/>
  <mergeCells count="1">
    <mergeCell ref="J1:J2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7" tint="0.59999389629810485"/>
    <pageSetUpPr fitToPage="1"/>
  </sheetPr>
  <dimension ref="A1:BG25"/>
  <sheetViews>
    <sheetView zoomScale="55" zoomScaleNormal="55" workbookViewId="0">
      <selection activeCell="A12" sqref="A12:G12"/>
    </sheetView>
  </sheetViews>
  <sheetFormatPr defaultRowHeight="15" x14ac:dyDescent="0.25"/>
  <cols>
    <col min="1" max="1" width="12.5703125" style="218" customWidth="1"/>
    <col min="2" max="2" width="14.5703125" style="218" customWidth="1"/>
    <col min="3" max="3" width="17.28515625" style="213" customWidth="1"/>
    <col min="4" max="4" width="13.85546875" style="213" customWidth="1"/>
    <col min="5" max="5" width="15" style="213" customWidth="1"/>
    <col min="6" max="6" width="14.28515625" style="213" customWidth="1"/>
    <col min="7" max="7" width="13.5703125" style="213" customWidth="1"/>
    <col min="8" max="8" width="14.7109375" style="213" customWidth="1"/>
    <col min="9" max="9" width="18.140625" style="213" customWidth="1"/>
    <col min="10" max="10" width="14.85546875" style="213" customWidth="1"/>
    <col min="11" max="12" width="17.140625" style="213" customWidth="1"/>
    <col min="13" max="13" width="14" style="213" customWidth="1"/>
    <col min="14" max="14" width="14.5703125" style="213" customWidth="1"/>
    <col min="15" max="15" width="16" style="213" customWidth="1"/>
    <col min="16" max="16" width="17.7109375" style="213" customWidth="1"/>
    <col min="17" max="17" width="17" style="213" customWidth="1"/>
    <col min="18" max="20" width="14" style="213" customWidth="1"/>
    <col min="21" max="21" width="14.28515625" style="213" customWidth="1"/>
    <col min="22" max="22" width="14" style="213" customWidth="1"/>
    <col min="23" max="23" width="13.85546875" style="213" customWidth="1"/>
    <col min="24" max="24" width="14.28515625" style="213" customWidth="1"/>
    <col min="25" max="25" width="14" style="213" customWidth="1"/>
    <col min="26" max="26" width="13.42578125" style="213" customWidth="1"/>
    <col min="27" max="27" width="12.7109375" style="213" customWidth="1"/>
    <col min="28" max="29" width="14.42578125" style="213" customWidth="1"/>
    <col min="30" max="30" width="13.140625" style="213" customWidth="1"/>
    <col min="31" max="31" width="14.28515625" style="213" customWidth="1"/>
    <col min="32" max="33" width="14.42578125" style="213" customWidth="1"/>
    <col min="34" max="36" width="14.28515625" style="213" customWidth="1"/>
    <col min="37" max="37" width="12" style="213" customWidth="1"/>
    <col min="38" max="38" width="13.28515625" customWidth="1"/>
    <col min="39" max="39" width="12.5703125" customWidth="1"/>
    <col min="40" max="40" width="73.140625" customWidth="1"/>
    <col min="41" max="41" width="45.140625" hidden="1" customWidth="1"/>
    <col min="42" max="42" width="9.140625" hidden="1" customWidth="1"/>
    <col min="43" max="59" width="7.5703125" hidden="1" customWidth="1"/>
  </cols>
  <sheetData>
    <row r="1" spans="1:59" ht="40.5" customHeight="1" x14ac:dyDescent="0.25">
      <c r="A1" s="933" t="s">
        <v>502</v>
      </c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</row>
    <row r="2" spans="1:59" ht="27.75" customHeight="1" x14ac:dyDescent="0.3">
      <c r="A2" s="214"/>
      <c r="B2" s="214"/>
      <c r="C2" s="215"/>
      <c r="D2" s="216" t="s">
        <v>503</v>
      </c>
      <c r="E2" s="216"/>
      <c r="F2" s="934">
        <f>IF('Титульный лист'!H11&lt;&gt;"",'Титульный лист'!H11,"")</f>
        <v>44557</v>
      </c>
      <c r="G2" s="934"/>
      <c r="H2" s="217"/>
      <c r="I2" s="217"/>
      <c r="J2" s="217"/>
      <c r="K2" s="217"/>
      <c r="L2" s="217"/>
    </row>
    <row r="3" spans="1:59" ht="20.25" customHeight="1" x14ac:dyDescent="0.25"/>
    <row r="4" spans="1:59" ht="36" customHeight="1" x14ac:dyDescent="0.25">
      <c r="F4" s="935" t="str">
        <f>IF('Титульный лист'!C22&lt;&gt;"",'Титульный лист'!C22,"")</f>
        <v>ГБУЗ "Нехаевская ЦРБ"</v>
      </c>
      <c r="G4" s="935"/>
      <c r="H4" s="935"/>
      <c r="I4" s="935"/>
      <c r="J4" s="935"/>
      <c r="K4" s="935"/>
      <c r="L4" s="935"/>
      <c r="M4" s="935"/>
      <c r="N4" s="935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</row>
    <row r="5" spans="1:59" ht="21.75" customHeight="1" x14ac:dyDescent="0.25">
      <c r="F5" s="936" t="s">
        <v>504</v>
      </c>
      <c r="G5" s="936"/>
      <c r="H5" s="936"/>
      <c r="I5" s="936"/>
      <c r="J5" s="936"/>
      <c r="K5" s="936"/>
      <c r="L5" s="936"/>
      <c r="M5" s="936"/>
      <c r="N5" s="936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</row>
    <row r="6" spans="1:59" ht="21" customHeight="1" thickBot="1" x14ac:dyDescent="0.3"/>
    <row r="7" spans="1:59" ht="79.5" customHeight="1" thickBot="1" x14ac:dyDescent="0.3">
      <c r="A7" s="937" t="s">
        <v>505</v>
      </c>
      <c r="B7" s="938"/>
      <c r="C7" s="938"/>
      <c r="D7" s="938"/>
      <c r="E7" s="938"/>
      <c r="F7" s="939"/>
      <c r="G7" s="915" t="s">
        <v>506</v>
      </c>
      <c r="H7" s="940"/>
      <c r="I7" s="940"/>
      <c r="J7" s="940"/>
      <c r="K7" s="940"/>
      <c r="L7" s="940"/>
      <c r="M7" s="940"/>
      <c r="N7" s="940"/>
      <c r="O7" s="940"/>
      <c r="P7" s="940"/>
      <c r="Q7" s="941"/>
      <c r="R7" s="915" t="s">
        <v>507</v>
      </c>
      <c r="S7" s="916"/>
      <c r="T7" s="916"/>
      <c r="U7" s="916"/>
      <c r="V7" s="917"/>
      <c r="W7" s="918" t="s">
        <v>508</v>
      </c>
      <c r="X7" s="919"/>
      <c r="Y7" s="919"/>
      <c r="Z7" s="919"/>
      <c r="AA7" s="920"/>
      <c r="AB7" s="921" t="s">
        <v>509</v>
      </c>
      <c r="AC7" s="921" t="s">
        <v>510</v>
      </c>
      <c r="AD7" s="924" t="s">
        <v>511</v>
      </c>
      <c r="AE7" s="925"/>
      <c r="AF7" s="926" t="s">
        <v>512</v>
      </c>
      <c r="AG7" s="927"/>
      <c r="AH7" s="927"/>
      <c r="AI7" s="927"/>
      <c r="AJ7" s="927"/>
      <c r="AK7" s="927"/>
      <c r="AL7" s="927"/>
      <c r="AM7" s="928"/>
      <c r="AN7" s="904" t="s">
        <v>411</v>
      </c>
    </row>
    <row r="8" spans="1:59" ht="31.5" customHeight="1" thickBot="1" x14ac:dyDescent="0.3">
      <c r="A8" s="907" t="s">
        <v>513</v>
      </c>
      <c r="B8" s="902" t="s">
        <v>514</v>
      </c>
      <c r="C8" s="909" t="s">
        <v>782</v>
      </c>
      <c r="D8" s="902" t="s">
        <v>515</v>
      </c>
      <c r="E8" s="907" t="s">
        <v>516</v>
      </c>
      <c r="F8" s="907" t="s">
        <v>517</v>
      </c>
      <c r="G8" s="911" t="s">
        <v>518</v>
      </c>
      <c r="H8" s="902" t="s">
        <v>519</v>
      </c>
      <c r="I8" s="913" t="s">
        <v>781</v>
      </c>
      <c r="J8" s="902" t="s">
        <v>520</v>
      </c>
      <c r="K8" s="942" t="s">
        <v>521</v>
      </c>
      <c r="L8" s="945" t="s">
        <v>833</v>
      </c>
      <c r="M8" s="911" t="s">
        <v>516</v>
      </c>
      <c r="N8" s="911" t="s">
        <v>517</v>
      </c>
      <c r="O8" s="929" t="s">
        <v>522</v>
      </c>
      <c r="P8" s="944"/>
      <c r="Q8" s="930"/>
      <c r="R8" s="911" t="s">
        <v>523</v>
      </c>
      <c r="S8" s="911" t="s">
        <v>524</v>
      </c>
      <c r="T8" s="911" t="s">
        <v>525</v>
      </c>
      <c r="U8" s="929" t="s">
        <v>526</v>
      </c>
      <c r="V8" s="930"/>
      <c r="W8" s="896" t="s">
        <v>523</v>
      </c>
      <c r="X8" s="896" t="s">
        <v>524</v>
      </c>
      <c r="Y8" s="896" t="s">
        <v>525</v>
      </c>
      <c r="Z8" s="898" t="s">
        <v>527</v>
      </c>
      <c r="AA8" s="899"/>
      <c r="AB8" s="922"/>
      <c r="AC8" s="922"/>
      <c r="AD8" s="900" t="s">
        <v>518</v>
      </c>
      <c r="AE8" s="890" t="s">
        <v>528</v>
      </c>
      <c r="AF8" s="900" t="s">
        <v>518</v>
      </c>
      <c r="AG8" s="931" t="s">
        <v>831</v>
      </c>
      <c r="AH8" s="890" t="s">
        <v>529</v>
      </c>
      <c r="AI8" s="892" t="s">
        <v>530</v>
      </c>
      <c r="AJ8" s="892"/>
      <c r="AK8" s="893"/>
      <c r="AL8" s="893"/>
      <c r="AM8" s="894"/>
      <c r="AN8" s="905"/>
    </row>
    <row r="9" spans="1:59" ht="237.75" customHeight="1" thickBot="1" x14ac:dyDescent="0.3">
      <c r="A9" s="908"/>
      <c r="B9" s="903"/>
      <c r="C9" s="910"/>
      <c r="D9" s="903"/>
      <c r="E9" s="908"/>
      <c r="F9" s="908"/>
      <c r="G9" s="912"/>
      <c r="H9" s="903"/>
      <c r="I9" s="914"/>
      <c r="J9" s="903"/>
      <c r="K9" s="943"/>
      <c r="L9" s="946"/>
      <c r="M9" s="912"/>
      <c r="N9" s="912"/>
      <c r="O9" s="221" t="s">
        <v>531</v>
      </c>
      <c r="P9" s="221" t="s">
        <v>532</v>
      </c>
      <c r="Q9" s="222" t="s">
        <v>533</v>
      </c>
      <c r="R9" s="912"/>
      <c r="S9" s="912"/>
      <c r="T9" s="912"/>
      <c r="U9" s="223" t="s">
        <v>534</v>
      </c>
      <c r="V9" s="223" t="s">
        <v>535</v>
      </c>
      <c r="W9" s="897"/>
      <c r="X9" s="897"/>
      <c r="Y9" s="897"/>
      <c r="Z9" s="224" t="s">
        <v>534</v>
      </c>
      <c r="AA9" s="224" t="s">
        <v>535</v>
      </c>
      <c r="AB9" s="923"/>
      <c r="AC9" s="923"/>
      <c r="AD9" s="901"/>
      <c r="AE9" s="891"/>
      <c r="AF9" s="901"/>
      <c r="AG9" s="932"/>
      <c r="AH9" s="891"/>
      <c r="AI9" s="739" t="s">
        <v>523</v>
      </c>
      <c r="AJ9" s="225" t="s">
        <v>524</v>
      </c>
      <c r="AK9" s="226" t="s">
        <v>525</v>
      </c>
      <c r="AL9" s="226" t="s">
        <v>536</v>
      </c>
      <c r="AM9" s="226" t="s">
        <v>537</v>
      </c>
      <c r="AN9" s="905"/>
      <c r="AQ9" s="388" t="s">
        <v>523</v>
      </c>
      <c r="AR9" s="388" t="s">
        <v>524</v>
      </c>
      <c r="AS9" s="389" t="s">
        <v>525</v>
      </c>
      <c r="AT9" s="226" t="s">
        <v>536</v>
      </c>
      <c r="AU9" s="226" t="s">
        <v>537</v>
      </c>
      <c r="AW9" s="388" t="s">
        <v>523</v>
      </c>
      <c r="AX9" s="388" t="s">
        <v>524</v>
      </c>
      <c r="AY9" s="389" t="s">
        <v>525</v>
      </c>
      <c r="AZ9" s="226" t="s">
        <v>536</v>
      </c>
      <c r="BA9" s="226" t="s">
        <v>537</v>
      </c>
      <c r="BC9" s="388" t="s">
        <v>523</v>
      </c>
      <c r="BD9" s="388" t="s">
        <v>524</v>
      </c>
      <c r="BE9" s="389" t="s">
        <v>525</v>
      </c>
      <c r="BF9" s="226" t="s">
        <v>536</v>
      </c>
      <c r="BG9" s="226" t="s">
        <v>537</v>
      </c>
    </row>
    <row r="10" spans="1:59" s="233" customFormat="1" ht="15.75" thickBot="1" x14ac:dyDescent="0.3">
      <c r="A10" s="227">
        <v>1</v>
      </c>
      <c r="B10" s="228" t="s">
        <v>335</v>
      </c>
      <c r="C10" s="227">
        <v>2</v>
      </c>
      <c r="D10" s="228" t="s">
        <v>243</v>
      </c>
      <c r="E10" s="227">
        <v>3</v>
      </c>
      <c r="F10" s="227">
        <v>4</v>
      </c>
      <c r="G10" s="229">
        <v>5</v>
      </c>
      <c r="H10" s="228" t="s">
        <v>473</v>
      </c>
      <c r="I10" s="229">
        <v>6</v>
      </c>
      <c r="J10" s="228" t="s">
        <v>293</v>
      </c>
      <c r="K10" s="228" t="s">
        <v>294</v>
      </c>
      <c r="L10" s="228" t="s">
        <v>830</v>
      </c>
      <c r="M10" s="230" t="s">
        <v>359</v>
      </c>
      <c r="N10" s="230" t="s">
        <v>538</v>
      </c>
      <c r="O10" s="231">
        <v>9</v>
      </c>
      <c r="P10" s="228" t="s">
        <v>539</v>
      </c>
      <c r="Q10" s="228" t="s">
        <v>540</v>
      </c>
      <c r="R10" s="231">
        <v>12</v>
      </c>
      <c r="S10" s="228" t="s">
        <v>541</v>
      </c>
      <c r="T10" s="228" t="s">
        <v>542</v>
      </c>
      <c r="U10" s="228" t="s">
        <v>543</v>
      </c>
      <c r="V10" s="228" t="s">
        <v>544</v>
      </c>
      <c r="W10" s="228" t="s">
        <v>545</v>
      </c>
      <c r="X10" s="231">
        <v>16</v>
      </c>
      <c r="Y10" s="231">
        <v>17</v>
      </c>
      <c r="Z10" s="228" t="s">
        <v>546</v>
      </c>
      <c r="AA10" s="228" t="s">
        <v>547</v>
      </c>
      <c r="AB10" s="228" t="s">
        <v>548</v>
      </c>
      <c r="AC10" s="228" t="s">
        <v>549</v>
      </c>
      <c r="AD10" s="228" t="s">
        <v>550</v>
      </c>
      <c r="AE10" s="228" t="s">
        <v>82</v>
      </c>
      <c r="AF10" s="228">
        <v>20</v>
      </c>
      <c r="AG10" s="228" t="s">
        <v>832</v>
      </c>
      <c r="AH10" s="228" t="s">
        <v>551</v>
      </c>
      <c r="AI10" s="228">
        <v>21</v>
      </c>
      <c r="AJ10" s="228">
        <v>22</v>
      </c>
      <c r="AK10" s="228" t="s">
        <v>552</v>
      </c>
      <c r="AL10" s="228" t="s">
        <v>553</v>
      </c>
      <c r="AM10" s="232" t="s">
        <v>554</v>
      </c>
      <c r="AN10" s="906"/>
      <c r="AQ10" s="233" t="s">
        <v>765</v>
      </c>
      <c r="AW10" s="233" t="s">
        <v>766</v>
      </c>
      <c r="BC10" s="233" t="s">
        <v>767</v>
      </c>
    </row>
    <row r="11" spans="1:59" s="125" customFormat="1" ht="50.25" customHeight="1" thickBot="1" x14ac:dyDescent="0.35">
      <c r="A11" s="234">
        <f>IF($F$4&lt;&gt;"",VLOOKUP($F$4,'Проверочный лист'!$B$2:$G$53,2,FALSE),"")</f>
        <v>2702</v>
      </c>
      <c r="B11" s="235">
        <v>2702</v>
      </c>
      <c r="C11" s="234">
        <f>IF($F$4&lt;&gt;"",VLOOKUP($F$4,'Проверочный лист'!$B$2:$G$53,3,FALSE),"")</f>
        <v>1540</v>
      </c>
      <c r="D11" s="236">
        <v>1540</v>
      </c>
      <c r="E11" s="234">
        <f>IF($F$4&lt;&gt;"",VLOOKUP($F$4,'Проверочный лист'!$B$2:$G$53,4,FALSE),"")</f>
        <v>75</v>
      </c>
      <c r="F11" s="234">
        <f>IF($F$4&lt;&gt;"",VLOOKUP($F$4,'Проверочный лист'!$B$2:$G$53,5,FALSE),"")</f>
        <v>893</v>
      </c>
      <c r="G11" s="237">
        <f>R11+S11+T11</f>
        <v>802</v>
      </c>
      <c r="H11" s="390">
        <v>802</v>
      </c>
      <c r="I11" s="237">
        <f>W11+X11+Y11</f>
        <v>471</v>
      </c>
      <c r="J11" s="236">
        <v>471</v>
      </c>
      <c r="K11" s="236">
        <v>471</v>
      </c>
      <c r="L11" s="236">
        <v>51</v>
      </c>
      <c r="M11" s="238">
        <v>35</v>
      </c>
      <c r="N11" s="238">
        <v>365</v>
      </c>
      <c r="O11" s="236">
        <v>4</v>
      </c>
      <c r="P11" s="236">
        <v>21</v>
      </c>
      <c r="Q11" s="236">
        <v>151</v>
      </c>
      <c r="R11" s="238">
        <v>123</v>
      </c>
      <c r="S11" s="238">
        <v>97</v>
      </c>
      <c r="T11" s="237">
        <f>U11+V11</f>
        <v>582</v>
      </c>
      <c r="U11" s="236">
        <v>572</v>
      </c>
      <c r="V11" s="236">
        <v>10</v>
      </c>
      <c r="W11" s="238">
        <v>7</v>
      </c>
      <c r="X11" s="238">
        <v>22</v>
      </c>
      <c r="Y11" s="239">
        <f>Z11+AA11</f>
        <v>442</v>
      </c>
      <c r="Z11" s="236">
        <v>438</v>
      </c>
      <c r="AA11" s="236">
        <v>4</v>
      </c>
      <c r="AB11" s="236">
        <v>535</v>
      </c>
      <c r="AC11" s="236">
        <v>535</v>
      </c>
      <c r="AD11" s="234">
        <f>IF($F$4&lt;&gt;"",VLOOKUP($F$4,'Проверочный лист'!$B$2:$G$53,6,FALSE),"")</f>
        <v>1141</v>
      </c>
      <c r="AE11" s="236">
        <v>1141</v>
      </c>
      <c r="AF11" s="240">
        <f>AI11+AJ11+AK11</f>
        <v>526</v>
      </c>
      <c r="AG11" s="236"/>
      <c r="AH11" s="236">
        <v>526</v>
      </c>
      <c r="AI11" s="236">
        <v>129</v>
      </c>
      <c r="AJ11" s="236">
        <v>104</v>
      </c>
      <c r="AK11" s="240">
        <f>AL11+AM11</f>
        <v>293</v>
      </c>
      <c r="AL11" s="236">
        <v>285</v>
      </c>
      <c r="AM11" s="241">
        <v>8</v>
      </c>
      <c r="AN11" s="242" t="str">
        <f>IF(OR(B11&lt;&gt;0,A11&lt;&gt;0),IF(B11&lt;=A11,"ОК","гр.1.1 &gt; гр.1"),"ОК")</f>
        <v>ОК</v>
      </c>
      <c r="AO11" s="243" t="s">
        <v>555</v>
      </c>
      <c r="AQ11" s="125">
        <f>R11+AI11</f>
        <v>252</v>
      </c>
      <c r="AR11" s="125">
        <f>S11+AJ11</f>
        <v>201</v>
      </c>
      <c r="AS11" s="125">
        <f>T11+AK11</f>
        <v>875</v>
      </c>
      <c r="AT11" s="125">
        <f>U11+AL11</f>
        <v>857</v>
      </c>
      <c r="AU11" s="125">
        <f>V11+AM11</f>
        <v>18</v>
      </c>
      <c r="AW11" s="125">
        <f t="shared" ref="AW11:BA12" si="0">AQ11-BC11</f>
        <v>245</v>
      </c>
      <c r="AX11" s="125">
        <f t="shared" si="0"/>
        <v>179</v>
      </c>
      <c r="AY11" s="125">
        <f t="shared" si="0"/>
        <v>433</v>
      </c>
      <c r="AZ11" s="125">
        <f t="shared" si="0"/>
        <v>419</v>
      </c>
      <c r="BA11" s="125">
        <f t="shared" si="0"/>
        <v>14</v>
      </c>
      <c r="BC11" s="125">
        <f>W11</f>
        <v>7</v>
      </c>
      <c r="BD11" s="125">
        <f>X11</f>
        <v>22</v>
      </c>
      <c r="BE11" s="125">
        <f>Y11</f>
        <v>442</v>
      </c>
      <c r="BF11" s="125">
        <f>Z11</f>
        <v>438</v>
      </c>
      <c r="BG11" s="125">
        <f>AA11</f>
        <v>4</v>
      </c>
    </row>
    <row r="12" spans="1:59" ht="43.5" customHeight="1" x14ac:dyDescent="0.3">
      <c r="A12" s="895"/>
      <c r="B12" s="895"/>
      <c r="C12" s="895"/>
      <c r="D12" s="895"/>
      <c r="E12" s="895"/>
      <c r="F12" s="895"/>
      <c r="G12" s="895"/>
      <c r="H12" s="244"/>
      <c r="I12" s="244"/>
      <c r="J12" s="244"/>
      <c r="K12" s="244"/>
      <c r="L12" s="244"/>
      <c r="M12" s="244"/>
      <c r="N12" s="244"/>
      <c r="AA12" s="245"/>
      <c r="AB12" s="245"/>
      <c r="AC12" s="245"/>
      <c r="AF12" s="246"/>
      <c r="AG12" s="246"/>
      <c r="AN12" s="242" t="str">
        <f>IF(OR(D11&lt;&gt;0,C11&lt;&gt;0),IF(D11&lt;=C11,"ОК","гр.2.1 &gt; гр.2"),"ОК")</f>
        <v>ОК</v>
      </c>
      <c r="AO12" s="243" t="s">
        <v>556</v>
      </c>
      <c r="AQ12">
        <f>R11</f>
        <v>123</v>
      </c>
      <c r="AR12">
        <f>S11</f>
        <v>97</v>
      </c>
      <c r="AS12">
        <f>T11</f>
        <v>582</v>
      </c>
      <c r="AT12">
        <f>U11</f>
        <v>572</v>
      </c>
      <c r="AU12">
        <f>V11</f>
        <v>10</v>
      </c>
      <c r="AW12" s="125">
        <f t="shared" si="0"/>
        <v>116</v>
      </c>
      <c r="AX12" s="125">
        <f t="shared" si="0"/>
        <v>75</v>
      </c>
      <c r="AY12" s="125">
        <f t="shared" si="0"/>
        <v>140</v>
      </c>
      <c r="AZ12" s="125">
        <f t="shared" si="0"/>
        <v>134</v>
      </c>
      <c r="BA12" s="125">
        <f t="shared" si="0"/>
        <v>6</v>
      </c>
      <c r="BC12">
        <f>W11</f>
        <v>7</v>
      </c>
      <c r="BD12">
        <f>X11</f>
        <v>22</v>
      </c>
      <c r="BE12">
        <f>Y11</f>
        <v>442</v>
      </c>
      <c r="BF12">
        <f>Z11</f>
        <v>438</v>
      </c>
      <c r="BG12">
        <f>AA11</f>
        <v>4</v>
      </c>
    </row>
    <row r="13" spans="1:59" ht="26.25" customHeight="1" x14ac:dyDescent="0.3">
      <c r="A13" s="886" t="s">
        <v>557</v>
      </c>
      <c r="B13" s="886"/>
      <c r="C13" s="886"/>
      <c r="D13" s="887" t="str">
        <f>IF('Титульный лист'!B30&lt;&gt;"",'Титульный лист'!B30,"")</f>
        <v>Тридубова Надежда Александровна</v>
      </c>
      <c r="E13" s="888"/>
      <c r="F13" s="889"/>
      <c r="G13" s="247"/>
      <c r="H13" s="248"/>
      <c r="I13" s="248"/>
      <c r="J13" s="248"/>
      <c r="K13" s="248"/>
      <c r="L13" s="248"/>
      <c r="M13" s="249"/>
      <c r="N13" s="248"/>
      <c r="O13" s="250"/>
      <c r="P13" s="248"/>
      <c r="AF13" s="246"/>
      <c r="AG13" s="246"/>
      <c r="AN13" s="242" t="str">
        <f>IF(OR(J11&lt;&gt;0,I11&lt;&gt;0),IF(J11&lt;=I11,"ОК","гр.6.1 &gt; гр.6"),"ОК")</f>
        <v>ОК</v>
      </c>
      <c r="AO13" s="243" t="s">
        <v>558</v>
      </c>
      <c r="AQ13">
        <f>AI11</f>
        <v>129</v>
      </c>
      <c r="AR13">
        <f>AJ11</f>
        <v>104</v>
      </c>
      <c r="AS13">
        <f>AK11</f>
        <v>293</v>
      </c>
      <c r="AT13">
        <f>AL11</f>
        <v>285</v>
      </c>
      <c r="AU13">
        <f>AM11</f>
        <v>8</v>
      </c>
      <c r="AW13" s="125">
        <f t="shared" ref="AW13:BA13" si="1">AI11</f>
        <v>129</v>
      </c>
      <c r="AX13" s="125">
        <f t="shared" si="1"/>
        <v>104</v>
      </c>
      <c r="AY13" s="125">
        <f t="shared" si="1"/>
        <v>293</v>
      </c>
      <c r="AZ13" s="125">
        <f t="shared" si="1"/>
        <v>285</v>
      </c>
      <c r="BA13" s="125">
        <f t="shared" si="1"/>
        <v>8</v>
      </c>
    </row>
    <row r="14" spans="1:59" ht="24" customHeight="1" x14ac:dyDescent="0.25">
      <c r="A14" s="886" t="s">
        <v>324</v>
      </c>
      <c r="B14" s="886"/>
      <c r="C14" s="886"/>
      <c r="D14" s="887" t="str">
        <f>IF('Титульный лист'!B31&lt;&gt;"",'Титульный лист'!B31,"")</f>
        <v>Беспалов Владислав Владимирович</v>
      </c>
      <c r="E14" s="888"/>
      <c r="F14" s="889"/>
      <c r="G14" s="247"/>
      <c r="H14" s="248"/>
      <c r="I14" s="248"/>
      <c r="J14" s="248"/>
      <c r="K14" s="248"/>
      <c r="L14" s="248"/>
      <c r="M14" s="249"/>
      <c r="N14" s="248"/>
      <c r="O14" s="248"/>
      <c r="P14" s="248"/>
      <c r="Q14" s="251"/>
      <c r="R14" s="251"/>
      <c r="S14" s="251"/>
      <c r="T14" s="251"/>
      <c r="U14" s="251"/>
      <c r="V14" s="251"/>
      <c r="AN14" s="242" t="str">
        <f>IF(OR(K11&lt;&gt;0,I11&lt;&gt;0),IF(K11&lt;=I11,"ОК","гр.6.2 &gt; гр.6"),"ОК")</f>
        <v>ОК</v>
      </c>
      <c r="AO14" s="243" t="s">
        <v>559</v>
      </c>
    </row>
    <row r="15" spans="1:59" ht="27" customHeight="1" x14ac:dyDescent="0.25">
      <c r="A15" s="886" t="s">
        <v>560</v>
      </c>
      <c r="B15" s="886"/>
      <c r="C15" s="886"/>
      <c r="D15" s="887" t="str">
        <f>IF('Титульный лист'!B32&lt;&gt;"",'Титульный лист'!B32,"")</f>
        <v>89047542538</v>
      </c>
      <c r="E15" s="888"/>
      <c r="F15" s="889"/>
      <c r="G15" s="247"/>
      <c r="H15" s="252"/>
      <c r="I15" s="252"/>
      <c r="J15" s="252"/>
      <c r="K15" s="252"/>
      <c r="L15" s="252"/>
      <c r="M15" s="253"/>
      <c r="N15" s="248"/>
      <c r="AN15" s="242" t="str">
        <f>IF(OR(U11&lt;&gt;0,T11&lt;&gt;0),IF(U11&lt;=T11,"ОК","гр.14.1 &gt; гр.14"),"ОК")</f>
        <v>ОК</v>
      </c>
      <c r="AO15" s="243" t="s">
        <v>561</v>
      </c>
    </row>
    <row r="16" spans="1:59" ht="18.75" x14ac:dyDescent="0.25">
      <c r="G16" s="252"/>
      <c r="H16" s="252"/>
      <c r="I16" s="252"/>
      <c r="J16" s="252"/>
      <c r="K16" s="252"/>
      <c r="L16" s="252"/>
      <c r="M16" s="252"/>
      <c r="N16" s="248"/>
      <c r="AN16" s="242" t="str">
        <f>IF(OR(V11&lt;&gt;0,T11&lt;&gt;0),IF(V11&lt;=T11,"ОК","гр.14.2 &gt; гр.14"),"ОК")</f>
        <v>ОК</v>
      </c>
      <c r="AO16" s="243" t="s">
        <v>562</v>
      </c>
    </row>
    <row r="17" spans="1:41" ht="18.75" x14ac:dyDescent="0.25">
      <c r="A17"/>
      <c r="B17"/>
      <c r="C17"/>
      <c r="D17"/>
      <c r="E17"/>
      <c r="F17"/>
      <c r="AN17" s="242" t="str">
        <f>IF(OR(Z11&lt;&gt;0,Y11&lt;&gt;0),IF(Z11&lt;=Y11,"ОК","гр.17.1 &gt; гр.17"),"ОК")</f>
        <v>ОК</v>
      </c>
      <c r="AO17" s="243" t="s">
        <v>563</v>
      </c>
    </row>
    <row r="18" spans="1:41" ht="18.75" x14ac:dyDescent="0.25">
      <c r="A18"/>
      <c r="B18"/>
      <c r="C18"/>
      <c r="D18"/>
      <c r="E18"/>
      <c r="F18"/>
      <c r="AN18" s="242" t="str">
        <f>IF(OR(AA11&lt;&gt;0,Y11&lt;&gt;0),IF(AA11&lt;=Y11,"ОК","гр.17.2 &gt; гр.17"),"ОК")</f>
        <v>ОК</v>
      </c>
      <c r="AO18" s="243" t="s">
        <v>564</v>
      </c>
    </row>
    <row r="19" spans="1:41" ht="18.75" x14ac:dyDescent="0.25">
      <c r="A19"/>
      <c r="B19"/>
      <c r="C19"/>
      <c r="D19"/>
      <c r="E19"/>
      <c r="F19"/>
      <c r="AN19" s="242" t="str">
        <f>IF(OR(AC11&lt;&gt;0,AB11&lt;&gt;0),IF(AC11&lt;=AB11,"ОК","гр.18.1 &gt; гр.18"),"ОК")</f>
        <v>ОК</v>
      </c>
      <c r="AO19" s="243" t="s">
        <v>565</v>
      </c>
    </row>
    <row r="20" spans="1:41" ht="18.75" x14ac:dyDescent="0.25">
      <c r="A20"/>
      <c r="B20"/>
      <c r="C20"/>
      <c r="D20"/>
      <c r="E20"/>
      <c r="F20"/>
      <c r="AN20" s="242" t="str">
        <f>IF(OR(AE11&lt;&gt;0,AD11&lt;&gt;0),IF(AE11&lt;=AD11,"ОК","гр.19.1 &gt; гр.19"),"ОК")</f>
        <v>ОК</v>
      </c>
      <c r="AO20" s="243" t="s">
        <v>566</v>
      </c>
    </row>
    <row r="21" spans="1:41" ht="18.75" x14ac:dyDescent="0.25">
      <c r="A21"/>
      <c r="B21"/>
      <c r="C21"/>
      <c r="D21"/>
      <c r="E21"/>
      <c r="F21"/>
      <c r="AN21" s="242" t="str">
        <f>IF(OR(AH11&lt;&gt;0,AF11&lt;&gt;0),IF(AH11&lt;=AF11,"ОК","гр.20.1 &gt; гр.20"),"ОК")</f>
        <v>ОК</v>
      </c>
      <c r="AO21" s="243" t="s">
        <v>567</v>
      </c>
    </row>
    <row r="22" spans="1:41" ht="18.75" x14ac:dyDescent="0.25">
      <c r="A22"/>
      <c r="B22"/>
      <c r="C22"/>
      <c r="D22"/>
      <c r="E22"/>
      <c r="F22"/>
      <c r="AN22" s="242" t="str">
        <f>IF(OR(I11&lt;&gt;0,G11&lt;&gt;0),IF(I11&lt;=G11,"ОК","гр.6 &gt; гр.5"),"ОК")</f>
        <v>ОК</v>
      </c>
      <c r="AO22" s="243" t="s">
        <v>568</v>
      </c>
    </row>
    <row r="23" spans="1:41" ht="36.75" customHeight="1" x14ac:dyDescent="0.25">
      <c r="A23"/>
      <c r="B23"/>
      <c r="C23"/>
      <c r="D23"/>
      <c r="E23"/>
      <c r="F23"/>
      <c r="AN23" s="242" t="str">
        <f>IF(OR(M11&lt;&gt;0,I11&lt;&gt;0),IF(M11&lt;=I11,"ОК","гр.7 &gt; гр.6"),"ОК")</f>
        <v>ОК</v>
      </c>
      <c r="AO23" s="243" t="s">
        <v>569</v>
      </c>
    </row>
    <row r="24" spans="1:41" ht="36.75" customHeight="1" x14ac:dyDescent="0.25">
      <c r="A24"/>
      <c r="B24"/>
      <c r="C24"/>
      <c r="D24"/>
      <c r="E24"/>
      <c r="F24"/>
      <c r="AN24" s="242" t="str">
        <f>IF(OR(N11&lt;&gt;0,I11&lt;&gt;0),IF(N11&lt;=I11,"ОК","гр.8 &gt; гр.6"),"ОК")</f>
        <v>ОК</v>
      </c>
      <c r="AO24" s="243" t="s">
        <v>570</v>
      </c>
    </row>
    <row r="25" spans="1:41" ht="36.75" customHeight="1" x14ac:dyDescent="0.25"/>
  </sheetData>
  <sheetProtection password="DB70" sheet="1" objects="1" scenarios="1" autoFilter="0"/>
  <mergeCells count="49">
    <mergeCell ref="K8:K9"/>
    <mergeCell ref="M8:M9"/>
    <mergeCell ref="N8:N9"/>
    <mergeCell ref="O8:Q8"/>
    <mergeCell ref="R8:R9"/>
    <mergeCell ref="L8:L9"/>
    <mergeCell ref="A1:N1"/>
    <mergeCell ref="F2:G2"/>
    <mergeCell ref="F4:N4"/>
    <mergeCell ref="F5:N5"/>
    <mergeCell ref="A7:F7"/>
    <mergeCell ref="G7:Q7"/>
    <mergeCell ref="S8:S9"/>
    <mergeCell ref="T8:T9"/>
    <mergeCell ref="U8:V8"/>
    <mergeCell ref="W8:W9"/>
    <mergeCell ref="AG8:AG9"/>
    <mergeCell ref="AN7:AN10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R7:V7"/>
    <mergeCell ref="W7:AA7"/>
    <mergeCell ref="AB7:AB9"/>
    <mergeCell ref="AC7:AC9"/>
    <mergeCell ref="AD7:AE7"/>
    <mergeCell ref="AF7:AM7"/>
    <mergeCell ref="A15:C15"/>
    <mergeCell ref="D15:F15"/>
    <mergeCell ref="AH8:AH9"/>
    <mergeCell ref="AI8:AM8"/>
    <mergeCell ref="A12:G12"/>
    <mergeCell ref="A13:C13"/>
    <mergeCell ref="D13:F13"/>
    <mergeCell ref="A14:C14"/>
    <mergeCell ref="D14:F14"/>
    <mergeCell ref="X8:X9"/>
    <mergeCell ref="Y8:Y9"/>
    <mergeCell ref="Z8:AA8"/>
    <mergeCell ref="AD8:AD9"/>
    <mergeCell ref="AE8:AE9"/>
    <mergeCell ref="AF8:AF9"/>
    <mergeCell ref="J8:J9"/>
  </mergeCells>
  <conditionalFormatting sqref="AN11">
    <cfRule type="expression" dxfId="74" priority="14" stopIfTrue="1">
      <formula>AN11&lt;&gt;"ОК"</formula>
    </cfRule>
  </conditionalFormatting>
  <conditionalFormatting sqref="AN12">
    <cfRule type="expression" dxfId="73" priority="13" stopIfTrue="1">
      <formula>AN12&lt;&gt;"ОК"</formula>
    </cfRule>
  </conditionalFormatting>
  <conditionalFormatting sqref="AN13">
    <cfRule type="expression" dxfId="72" priority="12" stopIfTrue="1">
      <formula>AN13&lt;&gt;"ОК"</formula>
    </cfRule>
  </conditionalFormatting>
  <conditionalFormatting sqref="AN14">
    <cfRule type="expression" dxfId="71" priority="11" stopIfTrue="1">
      <formula>AN14&lt;&gt;"ОК"</formula>
    </cfRule>
  </conditionalFormatting>
  <conditionalFormatting sqref="AN15">
    <cfRule type="expression" dxfId="70" priority="10" stopIfTrue="1">
      <formula>AN15&lt;&gt;"ОК"</formula>
    </cfRule>
  </conditionalFormatting>
  <conditionalFormatting sqref="AN16">
    <cfRule type="expression" dxfId="69" priority="9" stopIfTrue="1">
      <formula>AN16&lt;&gt;"ОК"</formula>
    </cfRule>
  </conditionalFormatting>
  <conditionalFormatting sqref="AN17">
    <cfRule type="expression" dxfId="68" priority="8" stopIfTrue="1">
      <formula>AN17&lt;&gt;"ОК"</formula>
    </cfRule>
  </conditionalFormatting>
  <conditionalFormatting sqref="AN18">
    <cfRule type="expression" dxfId="67" priority="7" stopIfTrue="1">
      <formula>AN18&lt;&gt;"ОК"</formula>
    </cfRule>
  </conditionalFormatting>
  <conditionalFormatting sqref="AN19">
    <cfRule type="expression" dxfId="66" priority="6" stopIfTrue="1">
      <formula>AN19&lt;&gt;"ОК"</formula>
    </cfRule>
  </conditionalFormatting>
  <conditionalFormatting sqref="AN20">
    <cfRule type="expression" dxfId="65" priority="5" stopIfTrue="1">
      <formula>AN20&lt;&gt;"ОК"</formula>
    </cfRule>
  </conditionalFormatting>
  <conditionalFormatting sqref="AN21">
    <cfRule type="expression" dxfId="64" priority="4" stopIfTrue="1">
      <formula>AN21&lt;&gt;"ОК"</formula>
    </cfRule>
  </conditionalFormatting>
  <conditionalFormatting sqref="AN23">
    <cfRule type="expression" dxfId="63" priority="2" stopIfTrue="1">
      <formula>AN23&lt;&gt;"ОК"</formula>
    </cfRule>
  </conditionalFormatting>
  <conditionalFormatting sqref="AN22">
    <cfRule type="expression" dxfId="62" priority="3" stopIfTrue="1">
      <formula>AN22&lt;&gt;"ОК"</formula>
    </cfRule>
  </conditionalFormatting>
  <conditionalFormatting sqref="AN24">
    <cfRule type="expression" dxfId="61" priority="1" stopIfTrue="1">
      <formula>AN24&lt;&gt;"ОК"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ВВЕСТИ:_x000a_1) дату и название организации;_x000a_2) Ф.И.О. гл.врача, исполнителя и ТЕЛЕФОН ИСПОЛНИТЕЛЯ._x000a__x000a_Значение в этой ячейке должно быть целым положительным числом_x000a_ЛИБО РАВНО НУЛЮ._x000a_" sqref="D11 AE11 B11 I11:X11 Z11:AC11 AG11:AM11">
      <formula1>AND($F$2&lt;&gt;0,$F$4&lt;&gt;0,$D$13&lt;&gt;0,$D$14&lt;&gt;0,$D$15&lt;&gt;0,ISNUMBER(B11),B11&gt;=0,IF(ISERROR(SEARCH(",?",B11)),0,1)=0)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CC99"/>
    <pageSetUpPr fitToPage="1"/>
  </sheetPr>
  <dimension ref="A1:AV33"/>
  <sheetViews>
    <sheetView zoomScale="40" zoomScaleNormal="40" workbookViewId="0">
      <selection activeCell="S23" sqref="S23"/>
    </sheetView>
  </sheetViews>
  <sheetFormatPr defaultRowHeight="15" x14ac:dyDescent="0.25"/>
  <cols>
    <col min="1" max="1" width="49.5703125" customWidth="1"/>
    <col min="2" max="2" width="9.7109375" customWidth="1"/>
    <col min="3" max="4" width="20.140625" customWidth="1"/>
    <col min="5" max="5" width="16.85546875" customWidth="1"/>
    <col min="6" max="6" width="14.85546875" customWidth="1"/>
    <col min="7" max="7" width="17.7109375" customWidth="1"/>
    <col min="8" max="8" width="13.42578125" customWidth="1"/>
    <col min="9" max="9" width="16.85546875" customWidth="1"/>
    <col min="10" max="10" width="13.85546875" customWidth="1"/>
    <col min="11" max="11" width="18.5703125" customWidth="1"/>
    <col min="12" max="12" width="19.28515625" customWidth="1"/>
    <col min="13" max="13" width="17.28515625" customWidth="1"/>
    <col min="14" max="14" width="18.85546875" customWidth="1"/>
    <col min="15" max="15" width="14.28515625" customWidth="1"/>
    <col min="16" max="16" width="14.140625" customWidth="1"/>
    <col min="17" max="17" width="14.85546875" customWidth="1"/>
    <col min="18" max="18" width="17" customWidth="1"/>
    <col min="19" max="19" width="21.7109375" customWidth="1"/>
    <col min="20" max="20" width="22" customWidth="1"/>
    <col min="21" max="21" width="17.7109375" customWidth="1"/>
    <col min="22" max="22" width="20.28515625" customWidth="1"/>
    <col min="23" max="23" width="15.85546875" customWidth="1"/>
    <col min="24" max="24" width="111" customWidth="1"/>
    <col min="25" max="25" width="3.140625" customWidth="1"/>
    <col min="26" max="26" width="2.42578125" customWidth="1"/>
    <col min="27" max="27" width="98.7109375" customWidth="1"/>
    <col min="28" max="39" width="9.28515625" customWidth="1"/>
    <col min="40" max="48" width="8.5703125" customWidth="1"/>
  </cols>
  <sheetData>
    <row r="1" spans="1:48" ht="46.5" customHeight="1" x14ac:dyDescent="0.25">
      <c r="A1" s="254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255"/>
      <c r="C1" s="255"/>
      <c r="D1" s="947" t="s">
        <v>571</v>
      </c>
      <c r="E1" s="947"/>
      <c r="F1" s="947"/>
      <c r="G1" s="947"/>
      <c r="H1" s="947"/>
      <c r="I1" s="947"/>
      <c r="J1" s="947"/>
      <c r="K1" s="947"/>
      <c r="L1" s="947"/>
      <c r="U1" s="297"/>
    </row>
    <row r="2" spans="1:48" ht="26.25" customHeight="1" x14ac:dyDescent="0.25">
      <c r="U2" s="297"/>
    </row>
    <row r="3" spans="1:48" s="213" customFormat="1" ht="27.75" customHeight="1" x14ac:dyDescent="0.25">
      <c r="A3" s="948" t="s">
        <v>572</v>
      </c>
      <c r="B3" s="948"/>
      <c r="C3" s="948"/>
      <c r="D3" s="948"/>
      <c r="E3" s="948"/>
      <c r="F3" s="948"/>
      <c r="G3" s="948"/>
      <c r="H3" s="948"/>
      <c r="I3" s="948"/>
      <c r="J3" s="948"/>
      <c r="K3" s="948"/>
      <c r="L3" s="256"/>
    </row>
    <row r="4" spans="1:48" s="213" customFormat="1" ht="37.5" customHeight="1" thickBot="1" x14ac:dyDescent="0.3">
      <c r="A4" s="949" t="s">
        <v>573</v>
      </c>
      <c r="B4" s="949"/>
      <c r="C4" s="950"/>
      <c r="D4" s="950"/>
      <c r="E4" s="950"/>
      <c r="F4" s="950"/>
      <c r="G4" s="950"/>
      <c r="H4" s="950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0"/>
      <c r="V4" s="950"/>
      <c r="W4" s="950"/>
      <c r="X4" s="954" t="s">
        <v>411</v>
      </c>
      <c r="Y4"/>
      <c r="Z4"/>
      <c r="AD4" s="47"/>
      <c r="AE4" s="47"/>
      <c r="AF4" s="47"/>
      <c r="AG4" s="47"/>
    </row>
    <row r="5" spans="1:48" s="213" customFormat="1" ht="33.75" customHeight="1" x14ac:dyDescent="0.25">
      <c r="A5" s="955" t="s">
        <v>574</v>
      </c>
      <c r="B5" s="956" t="s">
        <v>575</v>
      </c>
      <c r="C5" s="972" t="s">
        <v>783</v>
      </c>
      <c r="D5" s="957" t="s">
        <v>576</v>
      </c>
      <c r="E5" s="958"/>
      <c r="F5" s="958"/>
      <c r="G5" s="959"/>
      <c r="H5" s="957" t="s">
        <v>577</v>
      </c>
      <c r="I5" s="958"/>
      <c r="J5" s="960"/>
      <c r="K5" s="961" t="s">
        <v>578</v>
      </c>
      <c r="L5" s="963" t="s">
        <v>579</v>
      </c>
      <c r="M5" s="965" t="s">
        <v>823</v>
      </c>
      <c r="N5" s="966"/>
      <c r="O5" s="966"/>
      <c r="P5" s="966"/>
      <c r="Q5" s="966"/>
      <c r="R5" s="966"/>
      <c r="S5" s="966"/>
      <c r="T5" s="967"/>
      <c r="U5" s="961" t="s">
        <v>580</v>
      </c>
      <c r="V5" s="968" t="s">
        <v>581</v>
      </c>
      <c r="W5" s="970" t="s">
        <v>582</v>
      </c>
      <c r="X5" s="954"/>
      <c r="Y5"/>
      <c r="Z5"/>
      <c r="AA5"/>
      <c r="AB5"/>
      <c r="AC5"/>
      <c r="AD5" s="47"/>
    </row>
    <row r="6" spans="1:48" s="213" customFormat="1" ht="228.95" customHeight="1" x14ac:dyDescent="0.25">
      <c r="A6" s="955"/>
      <c r="B6" s="956"/>
      <c r="C6" s="973"/>
      <c r="D6" s="515" t="s">
        <v>518</v>
      </c>
      <c r="E6" s="473" t="s">
        <v>583</v>
      </c>
      <c r="F6" s="473" t="s">
        <v>584</v>
      </c>
      <c r="G6" s="517" t="s">
        <v>585</v>
      </c>
      <c r="H6" s="520" t="s">
        <v>586</v>
      </c>
      <c r="I6" s="473" t="s">
        <v>587</v>
      </c>
      <c r="J6" s="521" t="s">
        <v>588</v>
      </c>
      <c r="K6" s="962"/>
      <c r="L6" s="964"/>
      <c r="M6" s="543" t="s">
        <v>589</v>
      </c>
      <c r="N6" s="474" t="s">
        <v>590</v>
      </c>
      <c r="O6" s="474" t="s">
        <v>591</v>
      </c>
      <c r="P6" s="474" t="s">
        <v>592</v>
      </c>
      <c r="Q6" s="439" t="s">
        <v>593</v>
      </c>
      <c r="R6" s="474" t="s">
        <v>594</v>
      </c>
      <c r="S6" s="474" t="s">
        <v>595</v>
      </c>
      <c r="T6" s="572" t="s">
        <v>596</v>
      </c>
      <c r="U6" s="962"/>
      <c r="V6" s="969"/>
      <c r="W6" s="971"/>
      <c r="X6" s="954"/>
      <c r="Y6"/>
      <c r="Z6"/>
      <c r="AD6" s="47"/>
    </row>
    <row r="7" spans="1:48" s="213" customFormat="1" ht="19.5" customHeight="1" x14ac:dyDescent="0.25">
      <c r="A7" s="438"/>
      <c r="B7" s="527"/>
      <c r="C7" s="544">
        <v>1</v>
      </c>
      <c r="D7" s="545">
        <v>2</v>
      </c>
      <c r="E7" s="546">
        <v>3</v>
      </c>
      <c r="F7" s="546">
        <v>4</v>
      </c>
      <c r="G7" s="547">
        <v>5</v>
      </c>
      <c r="H7" s="545">
        <v>6</v>
      </c>
      <c r="I7" s="546">
        <v>7</v>
      </c>
      <c r="J7" s="548">
        <v>8</v>
      </c>
      <c r="K7" s="549">
        <v>9</v>
      </c>
      <c r="L7" s="550">
        <v>10</v>
      </c>
      <c r="M7" s="551">
        <v>11</v>
      </c>
      <c r="N7" s="552">
        <v>12</v>
      </c>
      <c r="O7" s="552">
        <v>13</v>
      </c>
      <c r="P7" s="552">
        <v>14</v>
      </c>
      <c r="Q7" s="552">
        <v>15</v>
      </c>
      <c r="R7" s="552">
        <v>16</v>
      </c>
      <c r="S7" s="552">
        <v>17</v>
      </c>
      <c r="T7" s="573">
        <v>18</v>
      </c>
      <c r="U7" s="549">
        <v>19</v>
      </c>
      <c r="V7" s="574">
        <v>20</v>
      </c>
      <c r="W7" s="553">
        <v>21</v>
      </c>
      <c r="X7" s="954"/>
      <c r="Y7"/>
      <c r="Z7"/>
      <c r="AD7" s="47"/>
    </row>
    <row r="8" spans="1:48" s="213" customFormat="1" ht="40.5" customHeight="1" x14ac:dyDescent="0.25">
      <c r="A8" s="454" t="s">
        <v>597</v>
      </c>
      <c r="B8" s="528" t="s">
        <v>598</v>
      </c>
      <c r="C8" s="580">
        <f>'ДВН и профосмотр_общая '!$A$11</f>
        <v>2702</v>
      </c>
      <c r="D8" s="581">
        <f>'ДВН и профосмотр_общая '!$G$11</f>
        <v>802</v>
      </c>
      <c r="E8" s="582">
        <f>SUM(E9:E15)</f>
        <v>89</v>
      </c>
      <c r="F8" s="582">
        <f>SUM(F9:F15)</f>
        <v>126</v>
      </c>
      <c r="G8" s="583">
        <f>SUM(G9:G15)</f>
        <v>65</v>
      </c>
      <c r="H8" s="581">
        <f>'ДВН и профосмотр_общая '!$H$11</f>
        <v>802</v>
      </c>
      <c r="I8" s="582">
        <f t="shared" ref="I8:U8" si="0">SUM(I9:I15)</f>
        <v>89</v>
      </c>
      <c r="J8" s="584">
        <f t="shared" si="0"/>
        <v>126</v>
      </c>
      <c r="K8" s="585">
        <f t="shared" si="0"/>
        <v>12</v>
      </c>
      <c r="L8" s="580">
        <f t="shared" si="0"/>
        <v>12</v>
      </c>
      <c r="M8" s="581">
        <f t="shared" si="0"/>
        <v>3</v>
      </c>
      <c r="N8" s="582">
        <f t="shared" si="0"/>
        <v>0</v>
      </c>
      <c r="O8" s="582">
        <f t="shared" si="0"/>
        <v>0</v>
      </c>
      <c r="P8" s="582">
        <f t="shared" si="0"/>
        <v>1</v>
      </c>
      <c r="Q8" s="582">
        <f t="shared" si="0"/>
        <v>0</v>
      </c>
      <c r="R8" s="582">
        <f t="shared" si="0"/>
        <v>0</v>
      </c>
      <c r="S8" s="582">
        <f t="shared" si="0"/>
        <v>2</v>
      </c>
      <c r="T8" s="583">
        <f t="shared" si="0"/>
        <v>3</v>
      </c>
      <c r="U8" s="585">
        <f t="shared" si="0"/>
        <v>12</v>
      </c>
      <c r="V8" s="586">
        <f>SUM(V9:V15)</f>
        <v>12</v>
      </c>
      <c r="W8" s="584">
        <f>SUM(W9:W15)</f>
        <v>12</v>
      </c>
      <c r="X8" s="262" t="str">
        <f>IF(Z8&gt;0,"гр.2 &lt; гр.3+гр.4 по строке «"&amp;Y8&amp;"»","ОК")</f>
        <v>ОК</v>
      </c>
      <c r="Y8" s="46" t="str">
        <f>IF(Z8&gt;0,INDEX($B$9:$B$20,Z8,1),CHAR(151))</f>
        <v>—</v>
      </c>
      <c r="Z8" s="47">
        <f t="shared" ref="Z8:Z19" si="1">IF(ISERROR(MATCH(FALSE,AB8:AM8,0)),0,MATCH(FALSE,AB8:AM8,0))</f>
        <v>0</v>
      </c>
      <c r="AA8" s="427" t="s">
        <v>599</v>
      </c>
      <c r="AB8" s="47" t="b">
        <f>IF(OR($D9&lt;&gt;0,SUM($E9:$F9)&lt;&gt;0),IF($D9&gt;=SUM($E9:$F9),TRUE,FALSE),TRUE)</f>
        <v>1</v>
      </c>
      <c r="AC8" s="47" t="b">
        <f>IF(OR($D10&lt;&gt;0,SUM($E10:$F10)&lt;&gt;0),IF($D10&gt;=SUM($E10:$F10),TRUE,FALSE),TRUE)</f>
        <v>1</v>
      </c>
      <c r="AD8" s="47" t="b">
        <f>IF(OR($D11&lt;&gt;0,SUM($E11:$F11)&lt;&gt;0),IF($D11&gt;=SUM($E11:$F11),TRUE,FALSE),TRUE)</f>
        <v>1</v>
      </c>
      <c r="AE8" s="47" t="b">
        <f>IF(OR($D12&lt;&gt;0,SUM($E12:$F12)&lt;&gt;0),IF($D12&gt;=SUM($E12:$F12),TRUE,FALSE),TRUE)</f>
        <v>1</v>
      </c>
      <c r="AF8" s="47" t="b">
        <f>IF(OR($D13&lt;&gt;0,SUM($E13:$F13)&lt;&gt;0),IF($D13&gt;=SUM($E13:$F13),TRUE,FALSE),TRUE)</f>
        <v>1</v>
      </c>
      <c r="AG8" s="47" t="b">
        <f>IF(OR($D14&lt;&gt;0,SUM($E14:$F14)&lt;&gt;0),IF($D14&gt;=SUM($E14:$F14),TRUE,FALSE),TRUE)</f>
        <v>1</v>
      </c>
      <c r="AH8" s="47" t="b">
        <f>IF(OR($D15&lt;&gt;0,SUM($E15:$F15)&lt;&gt;0),IF($D15&gt;=SUM($E15:$F15),TRUE,FALSE),TRUE)</f>
        <v>1</v>
      </c>
      <c r="AI8" s="47" t="b">
        <f>IF(OR($D16&lt;&gt;0,SUM($E16:$F16)&lt;&gt;0),IF($D16&gt;=SUM($E16:$F16),TRUE,FALSE),TRUE)</f>
        <v>1</v>
      </c>
      <c r="AJ8" s="47" t="b">
        <f>IF(OR($D17&lt;&gt;0,SUM($E17:$F17)&lt;&gt;0),IF($D17&gt;=SUM($E17:$F17),TRUE,FALSE),TRUE)</f>
        <v>1</v>
      </c>
      <c r="AK8" s="47" t="b">
        <f>IF(OR($D18&lt;&gt;0,SUM($E18:$F18)&lt;&gt;0),IF($D18&gt;=SUM($E18:$F18),TRUE,FALSE),TRUE)</f>
        <v>1</v>
      </c>
      <c r="AL8" s="47" t="b">
        <f>IF(OR($D19&lt;&gt;0,SUM($E19:$F19)&lt;&gt;0),IF($D19&gt;=SUM($E19:$F19),TRUE,FALSE),TRUE)</f>
        <v>1</v>
      </c>
      <c r="AM8" s="47" t="b">
        <f>IF(OR($D20&lt;&gt;0,SUM($E20:$F20)&lt;&gt;0),IF($D20&gt;=SUM($E20:$F20),TRUE,FALSE),TRUE)</f>
        <v>1</v>
      </c>
    </row>
    <row r="9" spans="1:48" ht="28.5" customHeight="1" x14ac:dyDescent="0.25">
      <c r="A9" s="455" t="s">
        <v>774</v>
      </c>
      <c r="B9" s="528" t="s">
        <v>600</v>
      </c>
      <c r="C9" s="587">
        <v>150</v>
      </c>
      <c r="D9" s="737">
        <v>82</v>
      </c>
      <c r="E9" s="589">
        <v>19</v>
      </c>
      <c r="F9" s="589">
        <v>27</v>
      </c>
      <c r="G9" s="590">
        <v>18</v>
      </c>
      <c r="H9" s="588">
        <v>82</v>
      </c>
      <c r="I9" s="589">
        <v>19</v>
      </c>
      <c r="J9" s="591">
        <v>27</v>
      </c>
      <c r="K9" s="592"/>
      <c r="L9" s="593"/>
      <c r="M9" s="594"/>
      <c r="N9" s="589"/>
      <c r="O9" s="589"/>
      <c r="P9" s="589"/>
      <c r="Q9" s="589"/>
      <c r="R9" s="589"/>
      <c r="S9" s="589"/>
      <c r="T9" s="590"/>
      <c r="U9" s="592"/>
      <c r="V9" s="595"/>
      <c r="W9" s="591"/>
      <c r="X9" s="262" t="str">
        <f>IF(Z9&gt;0,"гр.21 &gt; гр.19 по строке «"&amp;Y9&amp;"»","ОК")</f>
        <v>ОК</v>
      </c>
      <c r="Y9" s="46" t="str">
        <f t="shared" ref="Y9:Y20" si="2">IF(Z9&gt;0,INDEX($B$9:$B$20,Z9,1),CHAR(151))</f>
        <v>—</v>
      </c>
      <c r="Z9" s="47">
        <f t="shared" si="1"/>
        <v>0</v>
      </c>
      <c r="AA9" s="427" t="s">
        <v>608</v>
      </c>
      <c r="AB9" s="47" t="b">
        <f>IF(OR($W9&lt;&gt;0,$U9&lt;&gt;0),IF($W9&lt;=$U9,TRUE,FALSE),TRUE)</f>
        <v>1</v>
      </c>
      <c r="AC9" s="47" t="b">
        <f>IF(OR($W10&lt;&gt;0,$U10&lt;&gt;0),IF($W10&lt;=$U10,TRUE,FALSE),TRUE)</f>
        <v>1</v>
      </c>
      <c r="AD9" s="47" t="b">
        <f>IF(OR($W11&lt;&gt;0,$U11&lt;&gt;0),IF($W11&lt;=$U11,TRUE,FALSE),TRUE)</f>
        <v>1</v>
      </c>
      <c r="AE9" s="47" t="b">
        <f>IF(OR($W12&lt;&gt;0,$U12&lt;&gt;0),IF($W12&lt;=$U12,TRUE,FALSE),TRUE)</f>
        <v>1</v>
      </c>
      <c r="AF9" s="47" t="b">
        <f>IF(OR($W13&lt;&gt;0,$U13&lt;&gt;0),IF($W13&lt;=$U13,TRUE,FALSE),TRUE)</f>
        <v>1</v>
      </c>
      <c r="AG9" s="47" t="b">
        <f>IF(OR($W14&lt;&gt;0,$U14&lt;&gt;0),IF($W14&lt;=$U14,TRUE,FALSE),TRUE)</f>
        <v>1</v>
      </c>
      <c r="AH9" s="47" t="b">
        <f>IF(OR($W15&lt;&gt;0,$U15&lt;&gt;0),IF($W15&lt;=$U15,TRUE,FALSE),TRUE)</f>
        <v>1</v>
      </c>
      <c r="AI9" s="47" t="b">
        <f>IF(OR($W16&lt;&gt;0,$U16&lt;&gt;0),IF($W16&lt;=$U16,TRUE,FALSE),TRUE)</f>
        <v>1</v>
      </c>
      <c r="AJ9" s="47" t="b">
        <f>IF(OR($W17&lt;&gt;0,$U17&lt;&gt;0),IF($W17&lt;=$U17,TRUE,FALSE),TRUE)</f>
        <v>1</v>
      </c>
      <c r="AK9" s="429" t="b">
        <v>1</v>
      </c>
      <c r="AL9" s="429" t="b">
        <v>1</v>
      </c>
      <c r="AM9" s="429" t="b">
        <v>1</v>
      </c>
    </row>
    <row r="10" spans="1:48" ht="28.5" customHeight="1" x14ac:dyDescent="0.25">
      <c r="A10" s="455" t="s">
        <v>775</v>
      </c>
      <c r="B10" s="528" t="s">
        <v>602</v>
      </c>
      <c r="C10" s="587">
        <v>110</v>
      </c>
      <c r="D10" s="737">
        <v>52</v>
      </c>
      <c r="E10" s="589">
        <v>17</v>
      </c>
      <c r="F10" s="589">
        <v>21</v>
      </c>
      <c r="G10" s="590">
        <v>17</v>
      </c>
      <c r="H10" s="588">
        <v>52</v>
      </c>
      <c r="I10" s="589">
        <v>17</v>
      </c>
      <c r="J10" s="591">
        <v>21</v>
      </c>
      <c r="K10" s="592">
        <v>1</v>
      </c>
      <c r="L10" s="593">
        <v>1</v>
      </c>
      <c r="M10" s="594"/>
      <c r="N10" s="589"/>
      <c r="O10" s="589"/>
      <c r="P10" s="589"/>
      <c r="Q10" s="589"/>
      <c r="R10" s="589"/>
      <c r="S10" s="589"/>
      <c r="T10" s="590">
        <v>1</v>
      </c>
      <c r="U10" s="592">
        <v>1</v>
      </c>
      <c r="V10" s="595">
        <v>1</v>
      </c>
      <c r="W10" s="591">
        <v>1</v>
      </c>
      <c r="X10" s="262" t="str">
        <f>IF(Z10&gt;0,"гр.2 &gt; гр.6 по строке «"&amp;Y10&amp;"»","ОК")</f>
        <v>ОК</v>
      </c>
      <c r="Y10" s="46" t="str">
        <f t="shared" si="2"/>
        <v>—</v>
      </c>
      <c r="Z10" s="47">
        <f t="shared" si="1"/>
        <v>0</v>
      </c>
      <c r="AA10" s="428" t="s">
        <v>601</v>
      </c>
      <c r="AB10" s="47" t="b">
        <f>IF(OR($D9&lt;&gt;0,$H9&lt;&gt;0),IF($D9&gt;=$H9,TRUE,FALSE),TRUE)</f>
        <v>1</v>
      </c>
      <c r="AC10" s="47" t="b">
        <f>IF(OR($D10&lt;&gt;0,$H10&lt;&gt;0),IF($D10&gt;=$H10,TRUE,FALSE),TRUE)</f>
        <v>1</v>
      </c>
      <c r="AD10" s="47" t="b">
        <f>IF(OR($D11&lt;&gt;0,$H11&lt;&gt;0),IF($D11&gt;=$H11,TRUE,FALSE),TRUE)</f>
        <v>1</v>
      </c>
      <c r="AE10" s="47" t="b">
        <f>IF(OR($D12&lt;&gt;0,$H12&lt;&gt;0),IF($D12&gt;=$H12,TRUE,FALSE),TRUE)</f>
        <v>1</v>
      </c>
      <c r="AF10" s="47" t="b">
        <f>IF(OR($D13&lt;&gt;0,$H13&lt;&gt;0),IF($D13&gt;=$H13,TRUE,FALSE),TRUE)</f>
        <v>1</v>
      </c>
      <c r="AG10" s="47" t="b">
        <f>IF(OR($D14&lt;&gt;0,$H14&lt;&gt;0),IF($D14&gt;=$H14,TRUE,FALSE),TRUE)</f>
        <v>1</v>
      </c>
      <c r="AH10" s="47" t="b">
        <f>IF(OR($D15&lt;&gt;0,$H15&lt;&gt;0),IF($D15&gt;=$H15,TRUE,FALSE),TRUE)</f>
        <v>1</v>
      </c>
      <c r="AI10" s="47" t="b">
        <f>IF(OR($D16&lt;&gt;0,$H16&lt;&gt;0),IF($D16&gt;=$H16,TRUE,FALSE),TRUE)</f>
        <v>1</v>
      </c>
      <c r="AJ10" s="47" t="b">
        <f>IF(OR($D17&lt;&gt;0,$H17&lt;&gt;0),IF($D17&gt;=$H17,TRUE,FALSE),TRUE)</f>
        <v>1</v>
      </c>
      <c r="AK10" s="47" t="b">
        <f>IF(OR($D18&lt;&gt;0,$H18&lt;&gt;0),IF($D18&gt;=$H18,TRUE,FALSE),TRUE)</f>
        <v>1</v>
      </c>
      <c r="AL10" s="47" t="b">
        <f>IF(OR($D19&lt;&gt;0,$H19&lt;&gt;0),IF($D19&gt;=$H19,TRUE,FALSE),TRUE)</f>
        <v>1</v>
      </c>
      <c r="AM10" s="47" t="b">
        <f>IF(OR($D20&lt;&gt;0,$H20&lt;&gt;0),IF($D20&gt;=$H20,TRUE,FALSE),TRUE)</f>
        <v>1</v>
      </c>
    </row>
    <row r="11" spans="1:48" ht="28.5" customHeight="1" x14ac:dyDescent="0.25">
      <c r="A11" s="455" t="s">
        <v>776</v>
      </c>
      <c r="B11" s="528" t="s">
        <v>768</v>
      </c>
      <c r="C11" s="587">
        <v>602</v>
      </c>
      <c r="D11" s="737">
        <v>101</v>
      </c>
      <c r="E11" s="589">
        <v>25</v>
      </c>
      <c r="F11" s="589">
        <v>39</v>
      </c>
      <c r="G11" s="590">
        <v>13</v>
      </c>
      <c r="H11" s="588">
        <v>101</v>
      </c>
      <c r="I11" s="589">
        <v>25</v>
      </c>
      <c r="J11" s="591">
        <v>39</v>
      </c>
      <c r="K11" s="592">
        <v>6</v>
      </c>
      <c r="L11" s="593">
        <v>6</v>
      </c>
      <c r="M11" s="594">
        <v>3</v>
      </c>
      <c r="N11" s="589"/>
      <c r="O11" s="589"/>
      <c r="P11" s="589">
        <v>1</v>
      </c>
      <c r="Q11" s="589"/>
      <c r="R11" s="589"/>
      <c r="S11" s="589"/>
      <c r="T11" s="590">
        <v>2</v>
      </c>
      <c r="U11" s="592">
        <v>6</v>
      </c>
      <c r="V11" s="595">
        <v>6</v>
      </c>
      <c r="W11" s="591">
        <v>6</v>
      </c>
      <c r="X11" s="262" t="str">
        <f>IF(Z11&gt;0,"гр.6 &lt; гр.7+гр.8 по строке «"&amp;Y11&amp;"»","ОК")</f>
        <v>ОК</v>
      </c>
      <c r="Y11" s="46" t="str">
        <f t="shared" si="2"/>
        <v>—</v>
      </c>
      <c r="Z11" s="47">
        <f t="shared" si="1"/>
        <v>0</v>
      </c>
      <c r="AA11" s="428" t="s">
        <v>603</v>
      </c>
      <c r="AB11" s="47" t="b">
        <f>IF(OR($H9&lt;&gt;0,SUM($I9:$J9)&lt;&gt;0),IF($H9&gt;=SUM($I9:$J9),TRUE,FALSE),TRUE)</f>
        <v>1</v>
      </c>
      <c r="AC11" s="47" t="b">
        <f>IF(OR($H10&lt;&gt;0,SUM($I10:$J10)&lt;&gt;0),IF($H10&gt;=SUM($I10:$J10),TRUE,FALSE),TRUE)</f>
        <v>1</v>
      </c>
      <c r="AD11" s="47" t="b">
        <f>IF(OR($H11&lt;&gt;0,SUM($I11:$J11)&lt;&gt;0),IF($H11&gt;=SUM($I11:$J11),TRUE,FALSE),TRUE)</f>
        <v>1</v>
      </c>
      <c r="AE11" s="47" t="b">
        <f>IF(OR($H12&lt;&gt;0,SUM($I12:$J12)&lt;&gt;0),IF($H12&gt;=SUM($I12:$J12),TRUE,FALSE),TRUE)</f>
        <v>1</v>
      </c>
      <c r="AF11" s="47" t="b">
        <f>IF(OR($H13&lt;&gt;0,SUM($I13:$J13)&lt;&gt;0),IF($H13&gt;=SUM($I13:$J13),TRUE,FALSE),TRUE)</f>
        <v>1</v>
      </c>
      <c r="AG11" s="47" t="b">
        <f>IF(OR($H14&lt;&gt;0,SUM($I14:$J14)&lt;&gt;0),IF($H14&gt;=SUM($I14:$J14),TRUE,FALSE),TRUE)</f>
        <v>1</v>
      </c>
      <c r="AH11" s="47" t="b">
        <f>IF(OR($H15&lt;&gt;0,SUM($I15:$J15)&lt;&gt;0),IF($H15&gt;=SUM($I15:$J15),TRUE,FALSE),TRUE)</f>
        <v>1</v>
      </c>
      <c r="AI11" s="47" t="b">
        <f>IF(OR($H16&lt;&gt;0,SUM($I16:$J16)&lt;&gt;0),IF($H16&gt;=SUM($I16:$J16),TRUE,FALSE),TRUE)</f>
        <v>1</v>
      </c>
      <c r="AJ11" s="47" t="b">
        <f>IF(OR($H17&lt;&gt;0,SUM($I17:$J17)&lt;&gt;0),IF($H17&gt;=SUM($I17:$J17),TRUE,FALSE),TRUE)</f>
        <v>1</v>
      </c>
      <c r="AK11" s="47" t="b">
        <f>IF(OR($H18&lt;&gt;0,SUM($I18:$J18)&lt;&gt;0),IF($H18&gt;=SUM($I18:$J18),TRUE,FALSE),TRUE)</f>
        <v>1</v>
      </c>
      <c r="AL11" s="47" t="b">
        <f>IF(OR($H19&lt;&gt;0,SUM($I19:$J19)&lt;&gt;0),IF($H19&gt;=SUM($I19:$J19),TRUE,FALSE),TRUE)</f>
        <v>1</v>
      </c>
      <c r="AM11" s="47" t="b">
        <f>IF(OR($H20&lt;&gt;0,SUM($I20:$J20)&lt;&gt;0),IF($H20&gt;=SUM($I20:$J20),TRUE,FALSE),TRUE)</f>
        <v>1</v>
      </c>
    </row>
    <row r="12" spans="1:48" ht="28.5" customHeight="1" x14ac:dyDescent="0.25">
      <c r="A12" s="455" t="s">
        <v>777</v>
      </c>
      <c r="B12" s="528" t="s">
        <v>769</v>
      </c>
      <c r="C12" s="587">
        <v>300</v>
      </c>
      <c r="D12" s="737">
        <v>86</v>
      </c>
      <c r="E12" s="589">
        <v>21</v>
      </c>
      <c r="F12" s="589">
        <v>25</v>
      </c>
      <c r="G12" s="590">
        <v>12</v>
      </c>
      <c r="H12" s="588">
        <v>86</v>
      </c>
      <c r="I12" s="589">
        <v>21</v>
      </c>
      <c r="J12" s="591">
        <v>25</v>
      </c>
      <c r="K12" s="592">
        <v>1</v>
      </c>
      <c r="L12" s="593">
        <v>1</v>
      </c>
      <c r="M12" s="594"/>
      <c r="N12" s="589"/>
      <c r="O12" s="589"/>
      <c r="P12" s="589"/>
      <c r="Q12" s="589"/>
      <c r="R12" s="589"/>
      <c r="S12" s="589">
        <v>1</v>
      </c>
      <c r="T12" s="590"/>
      <c r="U12" s="592">
        <v>1</v>
      </c>
      <c r="V12" s="595">
        <v>1</v>
      </c>
      <c r="W12" s="591">
        <v>1</v>
      </c>
      <c r="X12" s="262" t="str">
        <f>IF(Z12&gt;0,"гр.10 &lt; гр.11+12+14+16+17+18 по строке «"&amp;Y12&amp;"»","ОК")</f>
        <v>ОК</v>
      </c>
      <c r="Y12" s="46" t="str">
        <f t="shared" si="2"/>
        <v>—</v>
      </c>
      <c r="Z12" s="47">
        <f t="shared" si="1"/>
        <v>0</v>
      </c>
      <c r="AA12" s="428" t="s">
        <v>604</v>
      </c>
      <c r="AB12" t="b">
        <f>IF(OR($L9&lt;&gt;0,SUM($M9:$N9,$P9,$R9:$T9)&lt;&gt;0),IF($L9&gt;=SUM($M9:$N9,$P9,$R9:$T9),TRUE,FALSE),TRUE)</f>
        <v>1</v>
      </c>
      <c r="AC12" s="47" t="b">
        <f>IF(OR($L10&lt;&gt;0,SUM($M10:$N10,$P10,$R10:$T10)&lt;&gt;0),IF($L10&gt;=SUM($M10:$N10,$P10,$R10:$T10),TRUE,FALSE),TRUE)</f>
        <v>1</v>
      </c>
      <c r="AD12" s="47" t="b">
        <f>IF(OR($L11&lt;&gt;0,SUM($M11:$N11,$P11,$R11:$T11)&lt;&gt;0),IF($L11&gt;=SUM($M11:$N11,$P11,$R11:$T11),TRUE,FALSE),TRUE)</f>
        <v>1</v>
      </c>
      <c r="AE12" s="47" t="b">
        <f>IF(OR($L12&lt;&gt;0,SUM($M12:$N12,$P12,$R12:$T12)&lt;&gt;0),IF($L12&gt;=SUM($M12:$N12,$P12,$R12:$T12),TRUE,FALSE),TRUE)</f>
        <v>1</v>
      </c>
      <c r="AF12" s="47" t="b">
        <f>IF(OR($L13&lt;&gt;0,SUM($M13:$N13,$P13,$R13:$T13)&lt;&gt;0),IF($L13&gt;=SUM($M13:$N13,$P13,$R13:$T13),TRUE,FALSE),TRUE)</f>
        <v>1</v>
      </c>
      <c r="AG12" s="47" t="b">
        <f>IF(OR($L14&lt;&gt;0,SUM($M14:$N14,$P14,$R14:$T14)&lt;&gt;0),IF($L14&gt;=SUM($M14:$N14,$P14,$R14:$T14),TRUE,FALSE),TRUE)</f>
        <v>1</v>
      </c>
      <c r="AH12" s="47" t="b">
        <f>IF(OR($L15&lt;&gt;0,SUM($M15:$N15,$P15,$R15:$T15)&lt;&gt;0),IF($L15&gt;=SUM($M15:$N15,$P15,$R15:$T15),TRUE,FALSE),TRUE)</f>
        <v>1</v>
      </c>
      <c r="AI12" s="47" t="b">
        <f>IF(OR($L16&lt;&gt;0,SUM($M16:$N16,$P16,$R16:$T16)&lt;&gt;0),IF($L16&gt;=SUM($M16:$N16,$P16,$R16:$T16),TRUE,FALSE),TRUE)</f>
        <v>1</v>
      </c>
      <c r="AJ12" s="47" t="b">
        <f>IF(OR($L17&lt;&gt;0,SUM($M17:$N17,$P17,$R17:$T17)&lt;&gt;0),IF($L17&gt;=SUM($M17:$N17,$P17,$R17:$T17),TRUE,FALSE),TRUE)</f>
        <v>1</v>
      </c>
      <c r="AK12" s="47" t="b">
        <f>IF(OR($L18&lt;&gt;0,SUM($M18:$N18,$P18,$R18:$T18)&lt;&gt;0),IF($L18&gt;=SUM($M18:$N18,$P18,$R18:$T18),TRUE,FALSE),TRUE)</f>
        <v>1</v>
      </c>
      <c r="AL12" s="47" t="b">
        <f>IF(OR($L19&lt;&gt;0,SUM($M19:$N19,$P19,$R19:$T19)&lt;&gt;0),IF($L19&gt;=SUM($M19:$N19,$P19,$R19:$T19),TRUE,FALSE),TRUE)</f>
        <v>1</v>
      </c>
      <c r="AM12" s="47" t="b">
        <f>IF(OR($L20&lt;&gt;0,SUM($M20:$N20,$P20,$R20:$T20)&lt;&gt;0),IF($L20&gt;=SUM($M20:$N20,$P20,$R20:$T20),TRUE,FALSE),TRUE)</f>
        <v>1</v>
      </c>
    </row>
    <row r="13" spans="1:48" ht="28.5" customHeight="1" x14ac:dyDescent="0.25">
      <c r="A13" s="455" t="s">
        <v>778</v>
      </c>
      <c r="B13" s="528" t="s">
        <v>770</v>
      </c>
      <c r="C13" s="587">
        <v>572</v>
      </c>
      <c r="D13" s="588">
        <v>81</v>
      </c>
      <c r="E13" s="589">
        <v>2</v>
      </c>
      <c r="F13" s="589">
        <v>4</v>
      </c>
      <c r="G13" s="590">
        <v>2</v>
      </c>
      <c r="H13" s="588">
        <v>81</v>
      </c>
      <c r="I13" s="589">
        <v>2</v>
      </c>
      <c r="J13" s="591">
        <v>4</v>
      </c>
      <c r="K13" s="592">
        <v>1</v>
      </c>
      <c r="L13" s="593">
        <v>1</v>
      </c>
      <c r="M13" s="594"/>
      <c r="N13" s="589"/>
      <c r="O13" s="589"/>
      <c r="P13" s="589"/>
      <c r="Q13" s="589"/>
      <c r="R13" s="589"/>
      <c r="S13" s="589">
        <v>1</v>
      </c>
      <c r="T13" s="590"/>
      <c r="U13" s="592">
        <v>1</v>
      </c>
      <c r="V13" s="595">
        <v>1</v>
      </c>
      <c r="W13" s="591">
        <v>1</v>
      </c>
      <c r="X13" s="262" t="str">
        <f>IF(Z13&gt;0,"гр.19 &gt; гр.9 по строке «"&amp;Y13&amp;"»","ОК")</f>
        <v>ОК</v>
      </c>
      <c r="Y13" s="46" t="str">
        <f t="shared" si="2"/>
        <v>—</v>
      </c>
      <c r="Z13" s="47">
        <f t="shared" si="1"/>
        <v>0</v>
      </c>
      <c r="AA13" s="428" t="s">
        <v>605</v>
      </c>
      <c r="AB13" s="47" t="b">
        <f>IF(OR($U9&lt;&gt;0,$K9&lt;&gt;0),IF($U9&lt;=$K9,TRUE,FALSE),TRUE)</f>
        <v>1</v>
      </c>
      <c r="AC13" s="47" t="b">
        <f>IF(OR($U10&lt;&gt;0,$K10&lt;&gt;0),IF($U10&lt;=$K10,TRUE,FALSE),TRUE)</f>
        <v>1</v>
      </c>
      <c r="AD13" s="47" t="b">
        <f>IF(OR($U11&lt;&gt;0,$K11&lt;&gt;0),IF($U11&lt;=$K11,TRUE,FALSE),TRUE)</f>
        <v>1</v>
      </c>
      <c r="AE13" s="47" t="b">
        <f>IF(OR($U12&lt;&gt;0,$K12&lt;&gt;0),IF($U12&lt;=$K12,TRUE,FALSE),TRUE)</f>
        <v>1</v>
      </c>
      <c r="AF13" s="47" t="b">
        <f>IF(OR($U13&lt;&gt;0,$K13&lt;&gt;0),IF($U13&lt;=$K13,TRUE,FALSE),TRUE)</f>
        <v>1</v>
      </c>
      <c r="AG13" s="47" t="b">
        <f>IF(OR($U14&lt;&gt;0,$K14&lt;&gt;0),IF($U14&lt;=$K14,TRUE,FALSE),TRUE)</f>
        <v>1</v>
      </c>
      <c r="AH13" s="47" t="b">
        <f>IF(OR($U15&lt;&gt;0,$K15&lt;&gt;0),IF($U15&lt;=$K15,TRUE,FALSE),TRUE)</f>
        <v>1</v>
      </c>
      <c r="AI13" s="47" t="b">
        <f>IF(OR($U16&lt;&gt;0,$K16&lt;&gt;0),IF($U16&lt;=$K16,TRUE,FALSE),TRUE)</f>
        <v>1</v>
      </c>
      <c r="AJ13" s="47" t="b">
        <f>IF(OR($U17&lt;&gt;0,$K17&lt;&gt;0),IF($U17&lt;=$K17,TRUE,FALSE),TRUE)</f>
        <v>1</v>
      </c>
      <c r="AK13" s="47" t="b">
        <f>IF(OR($U18&lt;&gt;0,$K18&lt;&gt;0),IF($U18&lt;=$K18,TRUE,FALSE),TRUE)</f>
        <v>1</v>
      </c>
      <c r="AL13" s="47" t="b">
        <f>IF(OR($U19&lt;&gt;0,$K19&lt;&gt;0),IF($U19&lt;=$K19,TRUE,FALSE),TRUE)</f>
        <v>1</v>
      </c>
      <c r="AM13" s="47" t="b">
        <f>IF(OR($U20&lt;&gt;0,$K20&lt;&gt;0),IF($U20&lt;=$K20,TRUE,FALSE),TRUE)</f>
        <v>1</v>
      </c>
    </row>
    <row r="14" spans="1:48" ht="28.5" customHeight="1" x14ac:dyDescent="0.25">
      <c r="A14" s="455" t="s">
        <v>779</v>
      </c>
      <c r="B14" s="528" t="s">
        <v>771</v>
      </c>
      <c r="C14" s="596">
        <v>768</v>
      </c>
      <c r="D14" s="597">
        <v>200</v>
      </c>
      <c r="E14" s="598">
        <v>3</v>
      </c>
      <c r="F14" s="598">
        <v>5</v>
      </c>
      <c r="G14" s="599">
        <v>2</v>
      </c>
      <c r="H14" s="597">
        <v>200</v>
      </c>
      <c r="I14" s="598">
        <v>3</v>
      </c>
      <c r="J14" s="600">
        <v>5</v>
      </c>
      <c r="K14" s="601">
        <v>3</v>
      </c>
      <c r="L14" s="602">
        <v>3</v>
      </c>
      <c r="M14" s="603"/>
      <c r="N14" s="598"/>
      <c r="O14" s="598"/>
      <c r="P14" s="598"/>
      <c r="Q14" s="598"/>
      <c r="R14" s="598"/>
      <c r="S14" s="598"/>
      <c r="T14" s="599"/>
      <c r="U14" s="601">
        <v>3</v>
      </c>
      <c r="V14" s="604">
        <v>3</v>
      </c>
      <c r="W14" s="600">
        <v>3</v>
      </c>
      <c r="X14" s="262" t="str">
        <f>IF(Z14&gt;0,"гр.20 &gt; гр.9 по строке «"&amp;Y14&amp;"»","ОК")</f>
        <v>ОК</v>
      </c>
      <c r="Y14" s="46" t="str">
        <f t="shared" si="2"/>
        <v>—</v>
      </c>
      <c r="Z14" s="47">
        <f t="shared" si="1"/>
        <v>0</v>
      </c>
      <c r="AA14" s="428" t="s">
        <v>606</v>
      </c>
      <c r="AB14" s="47" t="b">
        <f>IF(OR($V9&lt;&gt;0,$K9&lt;&gt;0),IF($V9&lt;=$K9,TRUE,FALSE),TRUE)</f>
        <v>1</v>
      </c>
      <c r="AC14" s="47" t="b">
        <f>IF(OR($V10&lt;&gt;0,$K10&lt;&gt;0),IF($V10&lt;=$K10,TRUE,FALSE),TRUE)</f>
        <v>1</v>
      </c>
      <c r="AD14" s="47" t="b">
        <f>IF(OR($V11&lt;&gt;0,$K11&lt;&gt;0),IF($V11&lt;=$K11,TRUE,FALSE),TRUE)</f>
        <v>1</v>
      </c>
      <c r="AE14" s="47" t="b">
        <f>IF(OR($V12&lt;&gt;0,$K12&lt;&gt;0),IF($V12&lt;=$K12,TRUE,FALSE),TRUE)</f>
        <v>1</v>
      </c>
      <c r="AF14" s="47" t="b">
        <f>IF(OR($V13&lt;&gt;0,$K13&lt;&gt;0),IF($V13&lt;=$K13,TRUE,FALSE),TRUE)</f>
        <v>1</v>
      </c>
      <c r="AG14" s="47" t="b">
        <f>IF(OR($V14&lt;&gt;0,$K14&lt;&gt;0),IF($V14&lt;=$K14,TRUE,FALSE),TRUE)</f>
        <v>1</v>
      </c>
      <c r="AH14" s="47" t="b">
        <f>IF(OR($V15&lt;&gt;0,$K15&lt;&gt;0),IF($V15&lt;=$K15,TRUE,FALSE),TRUE)</f>
        <v>1</v>
      </c>
      <c r="AI14" s="47" t="b">
        <f>IF(OR($V16&lt;&gt;0,$K16&lt;&gt;0),IF($V16&lt;=$K16,TRUE,FALSE),TRUE)</f>
        <v>1</v>
      </c>
      <c r="AJ14" s="47" t="b">
        <f>IF(OR($V17&lt;&gt;0,$K17&lt;&gt;0),IF($V17&lt;=$K17,TRUE,FALSE),TRUE)</f>
        <v>1</v>
      </c>
      <c r="AK14" s="429" t="b">
        <v>1</v>
      </c>
      <c r="AL14" s="429" t="b">
        <v>1</v>
      </c>
      <c r="AM14" s="429" t="b">
        <v>1</v>
      </c>
    </row>
    <row r="15" spans="1:48" ht="28.5" customHeight="1" x14ac:dyDescent="0.25">
      <c r="A15" s="455" t="s">
        <v>780</v>
      </c>
      <c r="B15" s="528" t="s">
        <v>772</v>
      </c>
      <c r="C15" s="596">
        <v>200</v>
      </c>
      <c r="D15" s="597">
        <v>200</v>
      </c>
      <c r="E15" s="598">
        <v>2</v>
      </c>
      <c r="F15" s="598">
        <v>5</v>
      </c>
      <c r="G15" s="599">
        <v>1</v>
      </c>
      <c r="H15" s="597">
        <v>200</v>
      </c>
      <c r="I15" s="598">
        <v>2</v>
      </c>
      <c r="J15" s="600">
        <v>5</v>
      </c>
      <c r="K15" s="601"/>
      <c r="L15" s="602"/>
      <c r="M15" s="603"/>
      <c r="N15" s="598"/>
      <c r="O15" s="598"/>
      <c r="P15" s="598"/>
      <c r="Q15" s="598"/>
      <c r="R15" s="598"/>
      <c r="S15" s="598"/>
      <c r="T15" s="599"/>
      <c r="U15" s="601"/>
      <c r="V15" s="604"/>
      <c r="W15" s="600"/>
      <c r="X15" s="262" t="str">
        <f>IF(Z15&gt;0,"гр.9 &gt; гр.10 по строке «"&amp;Y15&amp;"»","ОК")</f>
        <v>ОК</v>
      </c>
      <c r="Y15" s="46" t="str">
        <f t="shared" si="2"/>
        <v>—</v>
      </c>
      <c r="Z15" s="47">
        <f t="shared" si="1"/>
        <v>0</v>
      </c>
      <c r="AA15" s="428" t="s">
        <v>607</v>
      </c>
      <c r="AB15" s="47" t="b">
        <f>IF(OR($K9&lt;&gt;0,$L9&lt;&gt;0),IF($K9&lt;=$L9,TRUE,FALSE),TRUE)</f>
        <v>1</v>
      </c>
      <c r="AC15" s="47" t="b">
        <f>IF(OR($K10&lt;&gt;0,$L10&lt;&gt;0),IF($K10&lt;=$L10,TRUE,FALSE),TRUE)</f>
        <v>1</v>
      </c>
      <c r="AD15" s="47" t="b">
        <f>IF(OR($K11&lt;&gt;0,$L11&lt;&gt;0),IF($K11&lt;=$L11,TRUE,FALSE),TRUE)</f>
        <v>1</v>
      </c>
      <c r="AE15" s="47" t="b">
        <f>IF(OR($K12&lt;&gt;0,$L12&lt;&gt;0),IF($K12&lt;=$L12,TRUE,FALSE),TRUE)</f>
        <v>1</v>
      </c>
      <c r="AF15" s="47" t="b">
        <f>IF(OR($K13&lt;&gt;0,$L13&lt;&gt;0),IF($K13&lt;=$L13,TRUE,FALSE),TRUE)</f>
        <v>1</v>
      </c>
      <c r="AG15" s="47" t="b">
        <f>IF(OR($K14&lt;&gt;0,$L14&lt;&gt;0),IF($K14&lt;=$L14,TRUE,FALSE),TRUE)</f>
        <v>1</v>
      </c>
      <c r="AH15" s="47" t="b">
        <f>IF(OR($K15&lt;&gt;0,$L15&lt;&gt;0),IF($K15&lt;=$L15,TRUE,FALSE),TRUE)</f>
        <v>1</v>
      </c>
      <c r="AI15" s="47" t="b">
        <f>IF(OR($K16&lt;&gt;0,$L16&lt;&gt;0),IF($K16&lt;=$L16,TRUE,FALSE),TRUE)</f>
        <v>1</v>
      </c>
      <c r="AJ15" s="47" t="b">
        <f>IF(OR($K17&lt;&gt;0,$L17&lt;&gt;0),IF($K17&lt;=$L17,TRUE,FALSE),TRUE)</f>
        <v>1</v>
      </c>
      <c r="AK15" s="47" t="b">
        <f>IF(OR($K18&lt;&gt;0,$L18&lt;&gt;0),IF($K18&lt;=$L18,TRUE,FALSE),TRUE)</f>
        <v>1</v>
      </c>
      <c r="AL15" s="47" t="b">
        <f>IF(OR($K19&lt;&gt;0,$L19&lt;&gt;0),IF($K19&lt;=$L19,TRUE,FALSE),TRUE)</f>
        <v>1</v>
      </c>
      <c r="AM15" s="47" t="b">
        <f>IF(OR($K20&lt;&gt;0,$L20&lt;&gt;0),IF($K20&lt;=$L20,TRUE,FALSE),TRUE)</f>
        <v>1</v>
      </c>
    </row>
    <row r="16" spans="1:48" ht="28.5" customHeight="1" thickBot="1" x14ac:dyDescent="0.3">
      <c r="A16" s="456" t="s">
        <v>786</v>
      </c>
      <c r="B16" s="529" t="s">
        <v>773</v>
      </c>
      <c r="C16" s="605">
        <f>SUM('ДВН и профосмотр_общая '!E11:F11)</f>
        <v>968</v>
      </c>
      <c r="D16" s="606">
        <f>SUM('ДВН и профосмотр_общая '!M11:N11)</f>
        <v>400</v>
      </c>
      <c r="E16" s="607">
        <f>SUM(E14:E15)</f>
        <v>5</v>
      </c>
      <c r="F16" s="607">
        <f t="shared" ref="F16:K16" si="3">SUM(F14:F15)</f>
        <v>10</v>
      </c>
      <c r="G16" s="608">
        <f t="shared" si="3"/>
        <v>3</v>
      </c>
      <c r="H16" s="609">
        <f t="shared" si="3"/>
        <v>400</v>
      </c>
      <c r="I16" s="607">
        <f t="shared" si="3"/>
        <v>5</v>
      </c>
      <c r="J16" s="610">
        <f t="shared" si="3"/>
        <v>10</v>
      </c>
      <c r="K16" s="611">
        <f t="shared" si="3"/>
        <v>3</v>
      </c>
      <c r="L16" s="612">
        <f t="shared" ref="L16:W16" si="4">SUM(L14:L15)</f>
        <v>3</v>
      </c>
      <c r="M16" s="613">
        <f t="shared" si="4"/>
        <v>0</v>
      </c>
      <c r="N16" s="614">
        <f t="shared" si="4"/>
        <v>0</v>
      </c>
      <c r="O16" s="614">
        <f t="shared" si="4"/>
        <v>0</v>
      </c>
      <c r="P16" s="614">
        <f t="shared" si="4"/>
        <v>0</v>
      </c>
      <c r="Q16" s="614">
        <f t="shared" si="4"/>
        <v>0</v>
      </c>
      <c r="R16" s="614">
        <f t="shared" si="4"/>
        <v>0</v>
      </c>
      <c r="S16" s="614">
        <f t="shared" si="4"/>
        <v>0</v>
      </c>
      <c r="T16" s="615">
        <f t="shared" si="4"/>
        <v>0</v>
      </c>
      <c r="U16" s="616">
        <f t="shared" si="4"/>
        <v>3</v>
      </c>
      <c r="V16" s="617">
        <f t="shared" si="4"/>
        <v>3</v>
      </c>
      <c r="W16" s="618">
        <f t="shared" si="4"/>
        <v>3</v>
      </c>
      <c r="X16" s="262" t="str">
        <f>IF(Z16&gt;0,"гр.3 &lt; гр.7 по строке «"&amp;Y16&amp;"»","ОК")</f>
        <v>ОК</v>
      </c>
      <c r="Y16" s="46" t="str">
        <f t="shared" si="2"/>
        <v>—</v>
      </c>
      <c r="Z16" s="47">
        <f t="shared" si="1"/>
        <v>0</v>
      </c>
      <c r="AA16" s="428" t="s">
        <v>609</v>
      </c>
      <c r="AB16" s="47" t="b">
        <f>IF(OR($E9&lt;&gt;0,$I9&lt;&gt;0),IF($E9&gt;=$I9,TRUE,FALSE),TRUE)</f>
        <v>1</v>
      </c>
      <c r="AC16" s="47" t="b">
        <f>IF(OR($E10&lt;&gt;0,$I10&lt;&gt;0),IF($E10&gt;=$I10,TRUE,FALSE),TRUE)</f>
        <v>1</v>
      </c>
      <c r="AD16" s="47" t="b">
        <f>IF(OR($E11&lt;&gt;0,$I11&lt;&gt;0),IF($E11&gt;=$I11,TRUE,FALSE),TRUE)</f>
        <v>1</v>
      </c>
      <c r="AE16" s="47" t="b">
        <f>IF(OR($E12&lt;&gt;0,$I12&lt;&gt;0),IF($E12&gt;=$I12,TRUE,FALSE),TRUE)</f>
        <v>1</v>
      </c>
      <c r="AF16" s="47" t="b">
        <f>IF(OR($E13&lt;&gt;0,$I13&lt;&gt;0),IF($E13&gt;=$I13,TRUE,FALSE),TRUE)</f>
        <v>1</v>
      </c>
      <c r="AG16" s="47" t="b">
        <f>IF(OR($E14&lt;&gt;0,$I14&lt;&gt;0),IF($E14&gt;=$I14,TRUE,FALSE),TRUE)</f>
        <v>1</v>
      </c>
      <c r="AH16" s="47" t="b">
        <f>IF(OR($E15&lt;&gt;0,$I15&lt;&gt;0),IF($E15&gt;=$I15,TRUE,FALSE),TRUE)</f>
        <v>1</v>
      </c>
      <c r="AI16" s="47" t="b">
        <f>IF(OR($E16&lt;&gt;0,$I16&lt;&gt;0),IF($E16&gt;=$I16,TRUE,FALSE),TRUE)</f>
        <v>1</v>
      </c>
      <c r="AJ16" s="47" t="b">
        <f>IF(OR($E17&lt;&gt;0,$I17&lt;&gt;0),IF($E17&gt;=$I17,TRUE,FALSE),TRUE)</f>
        <v>1</v>
      </c>
      <c r="AK16" s="47" t="b">
        <f>IF(OR($E18&lt;&gt;0,$I18&lt;&gt;0),IF($E18&gt;=$I18,TRUE,FALSE),TRUE)</f>
        <v>1</v>
      </c>
      <c r="AL16" s="47" t="b">
        <f>IF(OR($E19&lt;&gt;0,$I19&lt;&gt;0),IF($E19&gt;=$I19,TRUE,FALSE),TRUE)</f>
        <v>1</v>
      </c>
      <c r="AM16" s="47" t="b">
        <f>IF(OR($E20&lt;&gt;0,$I20&lt;&gt;0),IF($E20&gt;=$I20,TRUE,FALSE),TRUE)</f>
        <v>1</v>
      </c>
      <c r="AN16" s="213"/>
      <c r="AO16" s="213"/>
      <c r="AP16" s="213"/>
      <c r="AQ16" s="213"/>
      <c r="AR16" s="213"/>
      <c r="AS16" s="213"/>
      <c r="AT16" s="213"/>
      <c r="AU16" s="213"/>
      <c r="AV16" s="213"/>
    </row>
    <row r="17" spans="1:48" s="213" customFormat="1" ht="126.75" customHeight="1" thickBot="1" x14ac:dyDescent="0.3">
      <c r="A17" s="555" t="s">
        <v>784</v>
      </c>
      <c r="B17" s="556" t="s">
        <v>785</v>
      </c>
      <c r="C17" s="619">
        <f>'ДВН и профосмотр_общая '!$C$11</f>
        <v>1540</v>
      </c>
      <c r="D17" s="620">
        <f>'ДВН и профосмотр_общая '!$I$11</f>
        <v>471</v>
      </c>
      <c r="E17" s="753">
        <f>SUM(E13:E15)</f>
        <v>7</v>
      </c>
      <c r="F17" s="753">
        <f t="shared" ref="F17:G17" si="5">SUM(F13:F15)</f>
        <v>14</v>
      </c>
      <c r="G17" s="753">
        <f t="shared" si="5"/>
        <v>5</v>
      </c>
      <c r="H17" s="620">
        <f>'ДВН и профосмотр_общая '!$J$11</f>
        <v>471</v>
      </c>
      <c r="I17" s="753">
        <f>SUM(I13:I15)</f>
        <v>7</v>
      </c>
      <c r="J17" s="753">
        <f t="shared" ref="J17:W17" si="6">SUM(J13:J15)</f>
        <v>14</v>
      </c>
      <c r="K17" s="753">
        <f t="shared" si="6"/>
        <v>4</v>
      </c>
      <c r="L17" s="753">
        <f t="shared" si="6"/>
        <v>4</v>
      </c>
      <c r="M17" s="753">
        <f t="shared" si="6"/>
        <v>0</v>
      </c>
      <c r="N17" s="753">
        <f>SUM(N13:N15)</f>
        <v>0</v>
      </c>
      <c r="O17" s="753">
        <f t="shared" si="6"/>
        <v>0</v>
      </c>
      <c r="P17" s="753">
        <f t="shared" si="6"/>
        <v>0</v>
      </c>
      <c r="Q17" s="753">
        <f t="shared" si="6"/>
        <v>0</v>
      </c>
      <c r="R17" s="753">
        <f t="shared" si="6"/>
        <v>0</v>
      </c>
      <c r="S17" s="753">
        <f t="shared" si="6"/>
        <v>1</v>
      </c>
      <c r="T17" s="753">
        <f t="shared" si="6"/>
        <v>0</v>
      </c>
      <c r="U17" s="753">
        <f t="shared" si="6"/>
        <v>4</v>
      </c>
      <c r="V17" s="753">
        <f t="shared" si="6"/>
        <v>4</v>
      </c>
      <c r="W17" s="753">
        <f t="shared" si="6"/>
        <v>4</v>
      </c>
      <c r="X17" s="262" t="str">
        <f>IF(Z17&gt;0,"гр.4 &lt; гр.8 по строке «"&amp;Y17&amp;"»","ОК")</f>
        <v>ОК</v>
      </c>
      <c r="Y17" s="46" t="str">
        <f t="shared" si="2"/>
        <v>—</v>
      </c>
      <c r="Z17" s="47">
        <f t="shared" si="1"/>
        <v>0</v>
      </c>
      <c r="AA17" s="428" t="s">
        <v>610</v>
      </c>
      <c r="AB17" s="47" t="b">
        <f>IF(OR($F9&lt;&gt;0,$J9&lt;&gt;0),IF($F9&gt;=$J9,TRUE,FALSE),TRUE)</f>
        <v>1</v>
      </c>
      <c r="AC17" s="47" t="b">
        <f>IF(OR($F10&lt;&gt;0,$J10&lt;&gt;0),IF($F10&gt;=$J10,TRUE,FALSE),TRUE)</f>
        <v>1</v>
      </c>
      <c r="AD17" s="47" t="b">
        <f>IF(OR($F11&lt;&gt;0,$J11&lt;&gt;0),IF($F11&gt;=$J11,TRUE,FALSE),TRUE)</f>
        <v>1</v>
      </c>
      <c r="AE17" s="47" t="b">
        <f>IF(OR($F12&lt;&gt;0,$J12&lt;&gt;0),IF($F12&gt;=$J12,TRUE,FALSE),TRUE)</f>
        <v>1</v>
      </c>
      <c r="AF17" s="47" t="b">
        <f>IF(OR($F13&lt;&gt;0,$J13&lt;&gt;0),IF($F13&gt;=$J13,TRUE,FALSE),TRUE)</f>
        <v>1</v>
      </c>
      <c r="AG17" s="47" t="b">
        <f>IF(OR($F14&lt;&gt;0,$J14&lt;&gt;0),IF($F14&gt;=$J14,TRUE,FALSE),TRUE)</f>
        <v>1</v>
      </c>
      <c r="AH17" s="47" t="b">
        <f>IF(OR($F15&lt;&gt;0,$J15&lt;&gt;0),IF($F15&gt;=$J15,TRUE,FALSE),TRUE)</f>
        <v>1</v>
      </c>
      <c r="AI17" s="47" t="b">
        <f>IF(OR($F16&lt;&gt;0,$J16&lt;&gt;0),IF($F16&gt;=$J16,TRUE,FALSE),TRUE)</f>
        <v>1</v>
      </c>
      <c r="AJ17" s="47" t="b">
        <f>IF(OR($F17&lt;&gt;0,$J17&lt;&gt;0),IF($F17&gt;=$J17,TRUE,FALSE),TRUE)</f>
        <v>1</v>
      </c>
      <c r="AK17" s="47" t="b">
        <f>IF(OR($F18&lt;&gt;0,$J18&lt;&gt;0),IF($F18&gt;=$J18,TRUE,FALSE),TRUE)</f>
        <v>1</v>
      </c>
      <c r="AL17" s="47" t="b">
        <f>IF(OR($F19&lt;&gt;0,$J19&lt;&gt;0),IF($F19&gt;=$J19,TRUE,FALSE),TRUE)</f>
        <v>1</v>
      </c>
      <c r="AM17" s="47" t="b">
        <f>IF(OR($F20&lt;&gt;0,$J20&lt;&gt;0),IF($F20&gt;=$J20,TRUE,FALSE),TRUE)</f>
        <v>1</v>
      </c>
    </row>
    <row r="18" spans="1:48" s="213" customFormat="1" ht="80.25" customHeight="1" thickBot="1" x14ac:dyDescent="0.3">
      <c r="A18" s="562" t="s">
        <v>808</v>
      </c>
      <c r="B18" s="563" t="s">
        <v>800</v>
      </c>
      <c r="C18" s="564" t="s">
        <v>732</v>
      </c>
      <c r="D18" s="565" t="s">
        <v>732</v>
      </c>
      <c r="E18" s="566" t="s">
        <v>732</v>
      </c>
      <c r="F18" s="566" t="s">
        <v>732</v>
      </c>
      <c r="G18" s="567" t="s">
        <v>732</v>
      </c>
      <c r="H18" s="565" t="s">
        <v>732</v>
      </c>
      <c r="I18" s="566" t="s">
        <v>732</v>
      </c>
      <c r="J18" s="568" t="s">
        <v>732</v>
      </c>
      <c r="K18" s="569" t="s">
        <v>732</v>
      </c>
      <c r="L18" s="569" t="s">
        <v>732</v>
      </c>
      <c r="M18" s="759">
        <f t="shared" ref="M18:T18" si="7">SUM(M19:M20)</f>
        <v>3</v>
      </c>
      <c r="N18" s="760">
        <f t="shared" si="7"/>
        <v>0</v>
      </c>
      <c r="O18" s="760">
        <f t="shared" si="7"/>
        <v>0</v>
      </c>
      <c r="P18" s="760">
        <f t="shared" si="7"/>
        <v>1</v>
      </c>
      <c r="Q18" s="760">
        <f t="shared" si="7"/>
        <v>0</v>
      </c>
      <c r="R18" s="760">
        <f t="shared" si="7"/>
        <v>0</v>
      </c>
      <c r="S18" s="760">
        <f t="shared" si="7"/>
        <v>2</v>
      </c>
      <c r="T18" s="761">
        <f t="shared" si="7"/>
        <v>3</v>
      </c>
      <c r="U18" s="621">
        <f>U8</f>
        <v>12</v>
      </c>
      <c r="V18" s="571" t="s">
        <v>732</v>
      </c>
      <c r="W18" s="570" t="s">
        <v>732</v>
      </c>
      <c r="X18" s="262" t="str">
        <f>IF(Z18&gt;0,"гр.12 &lt; гр.13 по строке «"&amp;Y18&amp;"»","ОК")</f>
        <v>ОК</v>
      </c>
      <c r="Y18" s="46" t="str">
        <f t="shared" si="2"/>
        <v>—</v>
      </c>
      <c r="Z18" s="47">
        <f t="shared" si="1"/>
        <v>0</v>
      </c>
      <c r="AA18" s="428" t="s">
        <v>611</v>
      </c>
      <c r="AB18" s="47" t="b">
        <f>IF(OR($N9&lt;&gt;0,$O9&lt;&gt;0),IF($N9&gt;=$O9,TRUE,FALSE),TRUE)</f>
        <v>1</v>
      </c>
      <c r="AC18" s="47" t="b">
        <f>IF(OR($N10&lt;&gt;0,$O10&lt;&gt;0),IF($N10&gt;=$O10,TRUE,FALSE),TRUE)</f>
        <v>1</v>
      </c>
      <c r="AD18" s="47" t="b">
        <f>IF(OR($N11&lt;&gt;0,$O11&lt;&gt;0),IF($N11&gt;=$O11,TRUE,FALSE),TRUE)</f>
        <v>1</v>
      </c>
      <c r="AE18" s="47" t="b">
        <f>IF(OR($N12&lt;&gt;0,$O12&lt;&gt;0),IF($N12&gt;=$O12,TRUE,FALSE),TRUE)</f>
        <v>1</v>
      </c>
      <c r="AF18" s="47" t="b">
        <f>IF(OR($N13&lt;&gt;0,$O13&lt;&gt;0),IF($N13&gt;=$O13,TRUE,FALSE),TRUE)</f>
        <v>1</v>
      </c>
      <c r="AG18" s="47" t="b">
        <f>IF(OR($N14&lt;&gt;0,$O14&lt;&gt;0),IF($N14&gt;=$O14,TRUE,FALSE),TRUE)</f>
        <v>1</v>
      </c>
      <c r="AH18" s="47" t="b">
        <f>IF(OR($N15&lt;&gt;0,$O15&lt;&gt;0),IF($N15&gt;=$O15,TRUE,FALSE),TRUE)</f>
        <v>1</v>
      </c>
      <c r="AI18" s="47" t="b">
        <f>IF(OR($N16&lt;&gt;0,$O16&lt;&gt;0),IF($N16&gt;=$O16,TRUE,FALSE),TRUE)</f>
        <v>1</v>
      </c>
      <c r="AJ18" s="47" t="b">
        <f>IF(OR($N17&lt;&gt;0,$O17&lt;&gt;0),IF($N17&gt;=$O17,TRUE,FALSE),TRUE)</f>
        <v>1</v>
      </c>
      <c r="AK18" s="47" t="b">
        <f>IF(OR($N18&lt;&gt;0,$O18&lt;&gt;0),IF($N18&gt;=$O18,TRUE,FALSE),TRUE)</f>
        <v>1</v>
      </c>
      <c r="AL18" s="47" t="b">
        <f>IF(OR($N19&lt;&gt;0,$O19&lt;&gt;0),IF($N19&gt;=$O19,TRUE,FALSE),TRUE)</f>
        <v>1</v>
      </c>
      <c r="AM18" s="47" t="b">
        <f>IF(OR($N20&lt;&gt;0,$O20&lt;&gt;0),IF($N20&gt;=$O20,TRUE,FALSE),TRUE)</f>
        <v>1</v>
      </c>
    </row>
    <row r="19" spans="1:48" s="213" customFormat="1" ht="52.5" customHeight="1" x14ac:dyDescent="0.25">
      <c r="A19" s="557" t="s">
        <v>821</v>
      </c>
      <c r="B19" s="558" t="s">
        <v>243</v>
      </c>
      <c r="C19" s="538" t="s">
        <v>732</v>
      </c>
      <c r="D19" s="539" t="s">
        <v>732</v>
      </c>
      <c r="E19" s="540" t="s">
        <v>732</v>
      </c>
      <c r="F19" s="540" t="s">
        <v>732</v>
      </c>
      <c r="G19" s="541" t="s">
        <v>732</v>
      </c>
      <c r="H19" s="539" t="s">
        <v>732</v>
      </c>
      <c r="I19" s="540" t="s">
        <v>732</v>
      </c>
      <c r="J19" s="542" t="s">
        <v>732</v>
      </c>
      <c r="K19" s="559" t="s">
        <v>732</v>
      </c>
      <c r="L19" s="755" t="s">
        <v>732</v>
      </c>
      <c r="M19" s="762">
        <v>3</v>
      </c>
      <c r="N19" s="763">
        <f>SUM(N9:N12)</f>
        <v>0</v>
      </c>
      <c r="O19" s="763">
        <f t="shared" ref="O19:R19" si="8">SUM(O9:O12)</f>
        <v>0</v>
      </c>
      <c r="P19" s="763">
        <f t="shared" si="8"/>
        <v>1</v>
      </c>
      <c r="Q19" s="763">
        <f t="shared" si="8"/>
        <v>0</v>
      </c>
      <c r="R19" s="763">
        <f t="shared" si="8"/>
        <v>0</v>
      </c>
      <c r="S19" s="764">
        <v>1</v>
      </c>
      <c r="T19" s="765">
        <v>3</v>
      </c>
      <c r="U19" s="757">
        <f>U18-U20</f>
        <v>8</v>
      </c>
      <c r="V19" s="560" t="s">
        <v>732</v>
      </c>
      <c r="W19" s="561" t="s">
        <v>732</v>
      </c>
      <c r="X19" s="262" t="str">
        <f>IF(Z19&gt;0,"гр.14 &lt; гр.15 по строке «"&amp;Y19&amp;"»","ОК")</f>
        <v>ОК</v>
      </c>
      <c r="Y19" s="46" t="str">
        <f t="shared" si="2"/>
        <v>—</v>
      </c>
      <c r="Z19" s="47">
        <f t="shared" si="1"/>
        <v>0</v>
      </c>
      <c r="AA19" s="428" t="s">
        <v>612</v>
      </c>
      <c r="AB19" s="47" t="b">
        <f>IF(OR($P9&lt;&gt;0,$Q9&lt;&gt;0),IF($P9&gt;=$Q9,TRUE,FALSE),TRUE)</f>
        <v>1</v>
      </c>
      <c r="AC19" s="47" t="b">
        <f>IF(OR($P10&lt;&gt;0,$Q10&lt;&gt;0),IF($P10&gt;=$Q10,TRUE,FALSE),TRUE)</f>
        <v>1</v>
      </c>
      <c r="AD19" s="47" t="b">
        <f>IF(OR($P11&lt;&gt;0,$Q11&lt;&gt;0),IF($P11&gt;=$Q11,TRUE,FALSE),TRUE)</f>
        <v>1</v>
      </c>
      <c r="AE19" s="47" t="b">
        <f>IF(OR($P12&lt;&gt;0,$Q12&lt;&gt;0),IF($P12&gt;=$Q12,TRUE,FALSE),TRUE)</f>
        <v>1</v>
      </c>
      <c r="AF19" s="47" t="b">
        <f>IF(OR($P13&lt;&gt;0,$Q13&lt;&gt;0),IF($P13&gt;=$Q13,TRUE,FALSE),TRUE)</f>
        <v>1</v>
      </c>
      <c r="AG19" s="47" t="b">
        <f>IF(OR($P14&lt;&gt;0,$Q14&lt;&gt;0),IF($P14&gt;=$Q14,TRUE,FALSE),TRUE)</f>
        <v>1</v>
      </c>
      <c r="AH19" s="47" t="b">
        <f>IF(OR($P15&lt;&gt;0,$Q15&lt;&gt;0),IF($P15&gt;=$Q15,TRUE,FALSE),TRUE)</f>
        <v>1</v>
      </c>
      <c r="AI19" s="47" t="b">
        <f>IF(OR($P16&lt;&gt;0,$Q16&lt;&gt;0),IF($P16&gt;=$Q16,TRUE,FALSE),TRUE)</f>
        <v>1</v>
      </c>
      <c r="AJ19" s="47" t="b">
        <f>IF(OR($P17&lt;&gt;0,$Q17&lt;&gt;0),IF($P17&gt;=$Q17,TRUE,FALSE),TRUE)</f>
        <v>1</v>
      </c>
      <c r="AK19" s="47" t="b">
        <f>IF(OR($P18&lt;&gt;0,$Q18&lt;&gt;0),IF($P18&gt;=$Q18,TRUE,FALSE),TRUE)</f>
        <v>1</v>
      </c>
      <c r="AL19" s="47" t="b">
        <f>IF(OR($P19&lt;&gt;0,$Q19&lt;&gt;0),IF($P19&gt;=$Q19,TRUE,FALSE),TRUE)</f>
        <v>1</v>
      </c>
      <c r="AM19" s="47" t="b">
        <f>IF(OR($P20&lt;&gt;0,$Q20&lt;&gt;0),IF($P20&gt;=$Q20,TRUE,FALSE),TRUE)</f>
        <v>1</v>
      </c>
    </row>
    <row r="20" spans="1:48" s="213" customFormat="1" ht="52.5" customHeight="1" thickBot="1" x14ac:dyDescent="0.3">
      <c r="A20" s="457" t="s">
        <v>822</v>
      </c>
      <c r="B20" s="530" t="s">
        <v>244</v>
      </c>
      <c r="C20" s="532" t="s">
        <v>732</v>
      </c>
      <c r="D20" s="533" t="s">
        <v>732</v>
      </c>
      <c r="E20" s="534" t="s">
        <v>732</v>
      </c>
      <c r="F20" s="534" t="s">
        <v>732</v>
      </c>
      <c r="G20" s="536" t="s">
        <v>732</v>
      </c>
      <c r="H20" s="533" t="s">
        <v>732</v>
      </c>
      <c r="I20" s="534" t="s">
        <v>732</v>
      </c>
      <c r="J20" s="535" t="s">
        <v>732</v>
      </c>
      <c r="K20" s="531" t="s">
        <v>732</v>
      </c>
      <c r="L20" s="756" t="s">
        <v>732</v>
      </c>
      <c r="M20" s="622"/>
      <c r="N20" s="766">
        <f>N17</f>
        <v>0</v>
      </c>
      <c r="O20" s="766">
        <f t="shared" ref="O20:R20" si="9">O17</f>
        <v>0</v>
      </c>
      <c r="P20" s="766">
        <f t="shared" si="9"/>
        <v>0</v>
      </c>
      <c r="Q20" s="766">
        <f t="shared" si="9"/>
        <v>0</v>
      </c>
      <c r="R20" s="766">
        <f t="shared" si="9"/>
        <v>0</v>
      </c>
      <c r="S20" s="623">
        <v>1</v>
      </c>
      <c r="T20" s="767"/>
      <c r="U20" s="758">
        <f>U17</f>
        <v>4</v>
      </c>
      <c r="V20" s="554" t="s">
        <v>732</v>
      </c>
      <c r="W20" s="537" t="s">
        <v>732</v>
      </c>
      <c r="X20" s="262" t="str">
        <f>IF(Z20&gt;0,"гр.5 &gt; гр.2 по строке «"&amp;Y20&amp;"»","ОК")</f>
        <v>ОК</v>
      </c>
      <c r="Y20" s="46" t="str">
        <f t="shared" si="2"/>
        <v>—</v>
      </c>
      <c r="Z20" s="47">
        <f>IF(ISERROR(MATCH(FALSE,AB20:AM20,0)),0,MATCH(FALSE,AB20:AM20,0))</f>
        <v>0</v>
      </c>
      <c r="AA20" s="428" t="s">
        <v>613</v>
      </c>
      <c r="AB20" s="268" t="b">
        <f>IF(OR($G9&lt;&gt;0,$D9&lt;&gt;0),IF($G9&lt;=$D9,TRUE,FALSE),TRUE)</f>
        <v>1</v>
      </c>
      <c r="AC20" s="47" t="b">
        <f>IF(OR($G10&lt;&gt;0,$D10&lt;&gt;0),IF($G10&lt;=$D10,TRUE,FALSE),TRUE)</f>
        <v>1</v>
      </c>
      <c r="AD20" s="47" t="b">
        <f>IF(OR($G11&lt;&gt;0,$D11&lt;&gt;0),IF($G11&lt;=$D11,TRUE,FALSE),TRUE)</f>
        <v>1</v>
      </c>
      <c r="AE20" s="47" t="b">
        <f>IF(OR($G12&lt;&gt;0,$D12&lt;&gt;0),IF($G12&lt;=$D12,TRUE,FALSE),TRUE)</f>
        <v>1</v>
      </c>
      <c r="AF20" s="47" t="b">
        <f>IF(OR($G13&lt;&gt;0,$D13&lt;&gt;0),IF($G13&lt;=$D13,TRUE,FALSE),TRUE)</f>
        <v>1</v>
      </c>
      <c r="AG20" s="47" t="b">
        <f>IF(OR($G14&lt;&gt;0,$D14&lt;&gt;0),IF($G14&lt;=$D14,TRUE,FALSE),TRUE)</f>
        <v>1</v>
      </c>
      <c r="AH20" s="47" t="b">
        <f>IF(OR($G15&lt;&gt;0,$D15&lt;&gt;0),IF($G15&lt;=$D15,TRUE,FALSE),TRUE)</f>
        <v>1</v>
      </c>
      <c r="AI20" s="47" t="b">
        <f>IF(OR($G16&lt;&gt;0,$D16&lt;&gt;0),IF($G16&lt;=$D16,TRUE,FALSE),TRUE)</f>
        <v>1</v>
      </c>
      <c r="AJ20" s="47" t="b">
        <f>IF(OR($G17&lt;&gt;0,$D17&lt;&gt;0),IF($G17&lt;=$D17,TRUE,FALSE),TRUE)</f>
        <v>1</v>
      </c>
      <c r="AK20" s="47" t="b">
        <f>IF(OR($G18&lt;&gt;0,$D18&lt;&gt;0),IF($G18&lt;=$D18,TRUE,FALSE),TRUE)</f>
        <v>1</v>
      </c>
      <c r="AL20" s="47" t="b">
        <f>IF(OR($G19&lt;&gt;0,$D19&lt;&gt;0),IF($G19&lt;=$D19,TRUE,FALSE),TRUE)</f>
        <v>1</v>
      </c>
      <c r="AM20" s="47" t="b">
        <f>IF(OR($G20&lt;&gt;0,$D20&lt;&gt;0),IF($G20&lt;=$D20,TRUE,FALSE),TRUE)</f>
        <v>1</v>
      </c>
      <c r="AN20" s="47"/>
      <c r="AO20" s="47"/>
      <c r="AP20" s="47"/>
      <c r="AQ20" s="47"/>
      <c r="AR20" s="47"/>
      <c r="AS20" s="47"/>
      <c r="AT20" s="47"/>
      <c r="AU20" s="47"/>
      <c r="AV20"/>
    </row>
    <row r="21" spans="1:48" s="213" customFormat="1" ht="43.5" customHeight="1" x14ac:dyDescent="0.25">
      <c r="A21" s="248"/>
      <c r="B21" s="264"/>
      <c r="C21" s="264"/>
      <c r="D21" s="264"/>
      <c r="E21" s="264"/>
      <c r="F21" s="264"/>
      <c r="G21" s="264"/>
      <c r="H21" s="264"/>
      <c r="I21" s="264"/>
      <c r="J21" s="264"/>
      <c r="K21"/>
      <c r="L21"/>
      <c r="M21"/>
      <c r="N21"/>
      <c r="O21"/>
      <c r="P21"/>
      <c r="Q21"/>
      <c r="R21"/>
      <c r="S21"/>
      <c r="T21"/>
      <c r="U21"/>
      <c r="V21"/>
      <c r="W21"/>
      <c r="X21" s="242" t="str">
        <f>IF(AB21=FALSE,"гр.5(со стр.1 по стр.1.8) &gt; гр.2(со стр.1 по стр.1.8)","ОК")</f>
        <v>ОК</v>
      </c>
      <c r="Y21" s="46"/>
      <c r="Z21" s="47"/>
      <c r="AA21" s="428" t="s">
        <v>799</v>
      </c>
      <c r="AB21" s="268" t="b">
        <f>IF(OR(SUM($G8:$G16)&lt;&gt;0,SUM($D8:$D16)&lt;&gt;0),IF(SUM($G8:$G16)&lt;=SUM($D8:$D16),TRUE,FALSE),TRUE)</f>
        <v>1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ht="36" customHeight="1" x14ac:dyDescent="0.25">
      <c r="A22" s="248"/>
      <c r="G22" s="264"/>
      <c r="X22" s="242" t="str">
        <f>IF(AB22=FALSE,"гр.6(со стр.1 по стр.1.8) &gt; гр.2(со стр.1 по стр.1.8)","ОК")</f>
        <v>ОК</v>
      </c>
      <c r="Y22" s="46"/>
      <c r="Z22" s="47"/>
      <c r="AA22" s="428" t="s">
        <v>803</v>
      </c>
      <c r="AB22" s="268" t="b">
        <f>IF(OR(SUM($H$8:$H$16)&lt;&gt;0,SUM($D$8:$D$16)&lt;&gt;0),IF(SUM($H$8:$H$16)&lt;=SUM($D$8:$D$16),TRUE,FALSE),TRUE)</f>
        <v>1</v>
      </c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</row>
    <row r="23" spans="1:48" ht="60" customHeight="1" thickBot="1" x14ac:dyDescent="0.3">
      <c r="A23" s="953" t="s">
        <v>828</v>
      </c>
      <c r="B23" s="953"/>
      <c r="C23" s="953"/>
      <c r="D23" s="953"/>
      <c r="E23" s="953"/>
      <c r="F23" s="752"/>
      <c r="G23" s="752"/>
      <c r="J23" s="265"/>
      <c r="X23" s="242" t="str">
        <f>IF(AB23=FALSE,"гр.7(со стр.1 по стр.1.8) &gt; гр.3(со стр.1 по стр.1.8)","ОК")</f>
        <v>ОК</v>
      </c>
      <c r="AA23" s="428" t="s">
        <v>804</v>
      </c>
      <c r="AB23" s="268" t="b">
        <f>IF(OR(SUM(I8:I16)&lt;&gt;0,SUM(E8:E16)&lt;&gt;0),IF(SUM(I8:I16)&lt;=SUM(E8:E16),TRUE,FALSE),TRUE)</f>
        <v>1</v>
      </c>
    </row>
    <row r="24" spans="1:48" ht="60" customHeight="1" thickBot="1" x14ac:dyDescent="0.3">
      <c r="A24" s="951" t="s">
        <v>836</v>
      </c>
      <c r="B24" s="951"/>
      <c r="C24" s="951"/>
      <c r="D24" s="754">
        <f>SUM(D9:D12)</f>
        <v>321</v>
      </c>
      <c r="E24" s="952" t="s">
        <v>837</v>
      </c>
      <c r="F24" s="952"/>
      <c r="G24" s="952"/>
      <c r="H24" s="952"/>
      <c r="I24" s="952"/>
      <c r="J24" s="952"/>
      <c r="K24" s="952"/>
      <c r="L24" s="754">
        <f>'1000, 1001'!G21</f>
        <v>331</v>
      </c>
      <c r="X24" s="242" t="str">
        <f>IF(AB24=FALSE,"гр.8(со стр.1 по стр.1.8) &gt; гр.4(со стр.1 по стр.1.8)","ОК")</f>
        <v>ОК</v>
      </c>
      <c r="AA24" s="428" t="s">
        <v>805</v>
      </c>
      <c r="AB24" s="268" t="b">
        <f>IF(OR(SUM(J8:J16)&lt;&gt;0,SUM(F8:F16)&lt;&gt;0),IF(SUM(J8:J16)&lt;=SUM(F8:F16),TRUE,FALSE),TRUE)</f>
        <v>1</v>
      </c>
    </row>
    <row r="25" spans="1:48" ht="60" customHeight="1" x14ac:dyDescent="0.25">
      <c r="X25" s="242" t="str">
        <f>IF(AB25=FALSE,"гр.1(со стр.1 по стр.1.9) &lt; гр.2(со стр.1 по стр.1.9)","ОК")</f>
        <v>ОК</v>
      </c>
      <c r="Y25" s="46"/>
      <c r="Z25" s="47"/>
      <c r="AA25" s="428" t="s">
        <v>798</v>
      </c>
      <c r="AB25" s="267" t="b">
        <f>IF(OR(SUM(C8:C17)&lt;&gt;0,SUM(D8:D17)&lt;&gt;0),IF(SUM(C8:C17)&gt;=SUM(D8:D17),TRUE,FALSE),TRUE)</f>
        <v>1</v>
      </c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</row>
    <row r="26" spans="1:48" ht="60" customHeight="1" x14ac:dyDescent="0.25">
      <c r="X26" s="242" t="str">
        <f>IF(AB26=FALSE,"гр.21(со стр.1 по стр.1.9) &gt; гр.6(со стр.1 по стр.1.9)","ОК")</f>
        <v>ОК</v>
      </c>
      <c r="Y26" s="46"/>
      <c r="Z26" s="47"/>
      <c r="AA26" s="428" t="s">
        <v>802</v>
      </c>
      <c r="AB26" s="267" t="b">
        <f>IF(OR(SUM(W8:W17)&lt;&gt;0,SUM(H8:H17)&lt;&gt;0),IF(SUM(W8:W17)&lt;=SUM(H8:H17),TRUE,FALSE),TRUE)</f>
        <v>1</v>
      </c>
      <c r="AF26" s="267"/>
      <c r="AG26" s="267"/>
      <c r="AH26" s="267"/>
      <c r="AI26" s="267"/>
    </row>
    <row r="27" spans="1:48" ht="60" customHeight="1" x14ac:dyDescent="0.25">
      <c r="X27" s="242" t="str">
        <f>IF(Z27&gt;0,"стр.2.2 &gt; стр.1.9 по графе "&amp;Y27,"ОК")</f>
        <v>ОК</v>
      </c>
      <c r="Y27" s="266" t="str">
        <f>IF(Z27&gt;0,INDEX($C$7:$W$7,1,Z27),CHAR(151))</f>
        <v>—</v>
      </c>
      <c r="Z27" s="47">
        <f>IF(ISERROR(MATCH(FALSE,AB27:AV27,0)),0,MATCH(FALSE,AB27:AV27,0))</f>
        <v>0</v>
      </c>
      <c r="AA27" s="428" t="s">
        <v>806</v>
      </c>
      <c r="AB27" s="429" t="b">
        <v>1</v>
      </c>
      <c r="AC27" s="429" t="b">
        <v>1</v>
      </c>
      <c r="AD27" s="429" t="b">
        <v>1</v>
      </c>
      <c r="AE27" s="429" t="b">
        <v>1</v>
      </c>
      <c r="AF27" s="429" t="b">
        <v>1</v>
      </c>
      <c r="AG27" s="429" t="b">
        <v>1</v>
      </c>
      <c r="AH27" s="429" t="b">
        <v>1</v>
      </c>
      <c r="AI27" s="429" t="b">
        <v>1</v>
      </c>
      <c r="AJ27" s="429" t="b">
        <v>1</v>
      </c>
      <c r="AK27" s="429" t="b">
        <v>1</v>
      </c>
      <c r="AL27" s="267" t="b">
        <f>IF(OR(M20&lt;&gt;0,M17&lt;&gt;0),IF(M20&lt;=M17,TRUE,FALSE),TRUE)</f>
        <v>1</v>
      </c>
      <c r="AM27" s="267" t="b">
        <f>IF(OR(N20&lt;&gt;0,N17&lt;&gt;0),IF(N20&lt;=N17,TRUE,FALSE),TRUE)</f>
        <v>1</v>
      </c>
      <c r="AN27" s="267" t="b">
        <f>IF(OR(O20&lt;&gt;0,O17&lt;&gt;0),IF(O20&lt;=O17,TRUE,FALSE),TRUE)</f>
        <v>1</v>
      </c>
      <c r="AO27" s="267" t="b">
        <f t="shared" ref="AO27:AT27" si="10">IF(OR(P20&lt;&gt;0,P17&lt;&gt;0),IF(P20&lt;=P17,TRUE,FALSE),TRUE)</f>
        <v>1</v>
      </c>
      <c r="AP27" s="267" t="b">
        <f t="shared" si="10"/>
        <v>1</v>
      </c>
      <c r="AQ27" s="267" t="b">
        <f t="shared" si="10"/>
        <v>1</v>
      </c>
      <c r="AR27" s="267" t="b">
        <f t="shared" si="10"/>
        <v>1</v>
      </c>
      <c r="AS27" s="267" t="b">
        <f t="shared" si="10"/>
        <v>1</v>
      </c>
      <c r="AT27" s="267" t="b">
        <f t="shared" si="10"/>
        <v>1</v>
      </c>
      <c r="AU27" s="429" t="b">
        <v>1</v>
      </c>
      <c r="AV27" s="429" t="b">
        <v>1</v>
      </c>
    </row>
    <row r="28" spans="1:48" ht="60" customHeight="1" x14ac:dyDescent="0.25">
      <c r="X28" s="242" t="str">
        <f>IF(AB28=FALSE,"гр.2 стр.1 ≠ гр.2(со стр.1.1 по стр.1.7)","ОК")</f>
        <v>ОК</v>
      </c>
      <c r="Y28" s="266" t="str">
        <f>IF(Z28&gt;0,INDEX($C$7:$W$7,1,Z28),CHAR(151))</f>
        <v>—</v>
      </c>
      <c r="Z28" s="47">
        <f>IF(ISERROR(MATCH(FALSE,AB28:AV28,0)),0,MATCH(FALSE,AB28:AV28,0))</f>
        <v>0</v>
      </c>
      <c r="AA28" s="428" t="s">
        <v>814</v>
      </c>
      <c r="AB28" s="267" t="b">
        <f>IF(OR(D8&lt;&gt;0,SUM(D9:D15)&lt;&gt;0),IF(D8=SUM(D9:D15),TRUE,FALSE),TRUE)</f>
        <v>1</v>
      </c>
    </row>
    <row r="29" spans="1:48" ht="38.25" customHeight="1" x14ac:dyDescent="0.25">
      <c r="X29" s="242" t="str">
        <f>IF(AB29=FALSE,"гр.6 стр.1 ≠ гр.6(со стр.1.1 по стр.1.7)","ОК")</f>
        <v>ОК</v>
      </c>
      <c r="Y29" s="266" t="str">
        <f>IF(Z29&gt;0,INDEX($C$7:$W$7,1,Z29),CHAR(151))</f>
        <v>—</v>
      </c>
      <c r="Z29" s="47">
        <f>IF(ISERROR(MATCH(FALSE,AB29:AV29,0)),0,MATCH(FALSE,AB29:AV29,0))</f>
        <v>0</v>
      </c>
      <c r="AA29" s="428" t="s">
        <v>815</v>
      </c>
      <c r="AB29" s="267" t="b">
        <f>IF(OR(H8&lt;&gt;0,SUM(H9:H15)&lt;&gt;0),IF(H8=SUM(H9:H15),TRUE,FALSE),TRUE)</f>
        <v>1</v>
      </c>
    </row>
    <row r="30" spans="1:48" ht="48" customHeight="1" x14ac:dyDescent="0.25"/>
    <row r="31" spans="1:48" ht="80.25" customHeight="1" x14ac:dyDescent="0.25"/>
    <row r="33" ht="55.5" customHeight="1" x14ac:dyDescent="0.25"/>
  </sheetData>
  <sheetProtection autoFilter="0"/>
  <mergeCells count="18">
    <mergeCell ref="X4:X7"/>
    <mergeCell ref="A5:A6"/>
    <mergeCell ref="B5:B6"/>
    <mergeCell ref="D5:G5"/>
    <mergeCell ref="H5:J5"/>
    <mergeCell ref="K5:K6"/>
    <mergeCell ref="L5:L6"/>
    <mergeCell ref="M5:T5"/>
    <mergeCell ref="V5:V6"/>
    <mergeCell ref="W5:W6"/>
    <mergeCell ref="C5:C6"/>
    <mergeCell ref="U5:U6"/>
    <mergeCell ref="D1:L1"/>
    <mergeCell ref="A3:K3"/>
    <mergeCell ref="A4:W4"/>
    <mergeCell ref="A24:C24"/>
    <mergeCell ref="E24:K24"/>
    <mergeCell ref="A23:E23"/>
  </mergeCells>
  <conditionalFormatting sqref="X8">
    <cfRule type="expression" dxfId="60" priority="39" stopIfTrue="1">
      <formula>X8&lt;&gt;"ОК"</formula>
    </cfRule>
  </conditionalFormatting>
  <conditionalFormatting sqref="X11">
    <cfRule type="expression" dxfId="59" priority="37" stopIfTrue="1">
      <formula>X11&lt;&gt;"ОК"</formula>
    </cfRule>
  </conditionalFormatting>
  <conditionalFormatting sqref="X16">
    <cfRule type="expression" dxfId="58" priority="35" stopIfTrue="1">
      <formula>X16&lt;&gt;"ОК"</formula>
    </cfRule>
  </conditionalFormatting>
  <conditionalFormatting sqref="X12">
    <cfRule type="expression" dxfId="57" priority="34" stopIfTrue="1">
      <formula>X12&lt;&gt;"ОК"</formula>
    </cfRule>
  </conditionalFormatting>
  <conditionalFormatting sqref="X13">
    <cfRule type="expression" dxfId="56" priority="33" stopIfTrue="1">
      <formula>X13&lt;&gt;"ОК"</formula>
    </cfRule>
  </conditionalFormatting>
  <conditionalFormatting sqref="X14">
    <cfRule type="expression" dxfId="55" priority="32" stopIfTrue="1">
      <formula>X14&lt;&gt;"ОК"</formula>
    </cfRule>
  </conditionalFormatting>
  <conditionalFormatting sqref="X17">
    <cfRule type="expression" dxfId="54" priority="30" stopIfTrue="1">
      <formula>X17&lt;&gt;"ОК"</formula>
    </cfRule>
  </conditionalFormatting>
  <conditionalFormatting sqref="X18">
    <cfRule type="expression" dxfId="53" priority="29" stopIfTrue="1">
      <formula>X18&lt;&gt;"ОК"</formula>
    </cfRule>
  </conditionalFormatting>
  <conditionalFormatting sqref="X19">
    <cfRule type="expression" dxfId="52" priority="28" stopIfTrue="1">
      <formula>X19&lt;&gt;"ОК"</formula>
    </cfRule>
  </conditionalFormatting>
  <conditionalFormatting sqref="X20">
    <cfRule type="expression" dxfId="51" priority="25" stopIfTrue="1">
      <formula>X20&lt;&gt;"ОК"</formula>
    </cfRule>
  </conditionalFormatting>
  <conditionalFormatting sqref="X9">
    <cfRule type="expression" dxfId="50" priority="22" stopIfTrue="1">
      <formula>X9&lt;&gt;"ОК"</formula>
    </cfRule>
  </conditionalFormatting>
  <conditionalFormatting sqref="X15">
    <cfRule type="expression" dxfId="49" priority="16" stopIfTrue="1">
      <formula>X15&lt;&gt;"ОК"</formula>
    </cfRule>
  </conditionalFormatting>
  <conditionalFormatting sqref="X27">
    <cfRule type="expression" dxfId="48" priority="15" stopIfTrue="1">
      <formula>X27&lt;&gt;"ОК"</formula>
    </cfRule>
  </conditionalFormatting>
  <conditionalFormatting sqref="X21">
    <cfRule type="expression" dxfId="47" priority="14" stopIfTrue="1">
      <formula>X21&lt;&gt;"ОК"</formula>
    </cfRule>
  </conditionalFormatting>
  <conditionalFormatting sqref="X10">
    <cfRule type="expression" dxfId="46" priority="13" stopIfTrue="1">
      <formula>X10&lt;&gt;"ОК"</formula>
    </cfRule>
  </conditionalFormatting>
  <conditionalFormatting sqref="X22">
    <cfRule type="expression" dxfId="45" priority="11" stopIfTrue="1">
      <formula>X22&lt;&gt;"ОК"</formula>
    </cfRule>
  </conditionalFormatting>
  <conditionalFormatting sqref="X23">
    <cfRule type="expression" dxfId="44" priority="10" stopIfTrue="1">
      <formula>X23&lt;&gt;"ОК"</formula>
    </cfRule>
  </conditionalFormatting>
  <conditionalFormatting sqref="X24">
    <cfRule type="expression" dxfId="43" priority="9" stopIfTrue="1">
      <formula>X24&lt;&gt;"ОК"</formula>
    </cfRule>
  </conditionalFormatting>
  <conditionalFormatting sqref="X25">
    <cfRule type="expression" dxfId="42" priority="6" stopIfTrue="1">
      <formula>X25&lt;&gt;"ОК"</formula>
    </cfRule>
  </conditionalFormatting>
  <conditionalFormatting sqref="X26">
    <cfRule type="expression" dxfId="41" priority="5" stopIfTrue="1">
      <formula>X26&lt;&gt;"ОК"</formula>
    </cfRule>
  </conditionalFormatting>
  <conditionalFormatting sqref="X28">
    <cfRule type="expression" dxfId="40" priority="2" stopIfTrue="1">
      <formula>X28&lt;&gt;"ОК"</formula>
    </cfRule>
  </conditionalFormatting>
  <conditionalFormatting sqref="X29">
    <cfRule type="expression" dxfId="39" priority="1" stopIfTrue="1">
      <formula>X29&lt;&gt;"ОК"</formula>
    </cfRule>
  </conditionalFormatting>
  <dataValidations count="2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U14 U16 L9:T16 U9:U11 E9:K17 V9:W16 L17:W17">
      <formula1>AND($A$1=TRUE,ISNUMBER(E9),E9&gt;=0,IF(ISERROR(SEARCH(",?",E9)),0,1)=0)</formula1>
    </dataValidation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C14:D16">
      <formula1>AND($A$1=TRUE,ISNUMBER(C14),C14&gt;=0,IF(ISERROR(SEARCH(",?",C14)),0,1)=0)</formula1>
    </dataValidation>
  </dataValidations>
  <pageMargins left="0.7" right="0.7" top="0.75" bottom="0.75" header="0.3" footer="0.3"/>
  <pageSetup paperSize="9" scale="2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6" tint="-0.249977111117893"/>
    <pageSetUpPr fitToPage="1"/>
  </sheetPr>
  <dimension ref="A1:AI23"/>
  <sheetViews>
    <sheetView zoomScale="40" zoomScaleNormal="40" workbookViewId="0">
      <selection activeCell="T17" sqref="T17"/>
    </sheetView>
  </sheetViews>
  <sheetFormatPr defaultRowHeight="15" x14ac:dyDescent="0.25"/>
  <cols>
    <col min="1" max="1" width="45.5703125" customWidth="1"/>
    <col min="2" max="2" width="7.7109375" customWidth="1"/>
    <col min="3" max="3" width="20.140625" customWidth="1"/>
    <col min="4" max="4" width="15.28515625" customWidth="1"/>
    <col min="5" max="5" width="20" customWidth="1"/>
    <col min="6" max="6" width="14.5703125" bestFit="1" customWidth="1"/>
    <col min="7" max="7" width="25.5703125" customWidth="1"/>
    <col min="8" max="8" width="13.5703125" customWidth="1"/>
    <col min="9" max="9" width="16.85546875" customWidth="1"/>
    <col min="10" max="10" width="13.5703125" customWidth="1"/>
    <col min="11" max="11" width="19.5703125" customWidth="1"/>
    <col min="12" max="12" width="20.5703125" customWidth="1"/>
    <col min="13" max="13" width="16.7109375" customWidth="1"/>
    <col min="14" max="14" width="18.42578125" customWidth="1"/>
    <col min="15" max="15" width="13.5703125" customWidth="1"/>
    <col min="16" max="18" width="14" customWidth="1"/>
    <col min="19" max="19" width="16.42578125" customWidth="1"/>
    <col min="20" max="20" width="16" customWidth="1"/>
    <col min="21" max="21" width="17.7109375" customWidth="1"/>
    <col min="22" max="22" width="17.42578125" customWidth="1"/>
    <col min="23" max="23" width="13.5703125" customWidth="1"/>
    <col min="24" max="24" width="85.42578125" customWidth="1"/>
    <col min="25" max="25" width="56.140625" hidden="1" customWidth="1"/>
    <col min="26" max="35" width="0" hidden="1" customWidth="1"/>
  </cols>
  <sheetData>
    <row r="1" spans="1:25" ht="36.75" customHeight="1" x14ac:dyDescent="0.25">
      <c r="A1" s="255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255"/>
      <c r="C1" s="255"/>
      <c r="D1" s="974" t="s">
        <v>614</v>
      </c>
      <c r="E1" s="974"/>
      <c r="F1" s="974"/>
      <c r="G1" s="974"/>
      <c r="H1" s="974"/>
      <c r="I1" s="974"/>
      <c r="J1" s="974"/>
      <c r="K1" s="974"/>
      <c r="L1" s="974"/>
    </row>
    <row r="2" spans="1:25" ht="32.25" customHeight="1" x14ac:dyDescent="0.25"/>
    <row r="3" spans="1:25" ht="38.25" customHeight="1" x14ac:dyDescent="0.25">
      <c r="A3" s="948" t="s">
        <v>572</v>
      </c>
      <c r="B3" s="948"/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</row>
    <row r="4" spans="1:25" ht="38.25" customHeight="1" thickBot="1" x14ac:dyDescent="0.3">
      <c r="A4" s="420" t="s">
        <v>573</v>
      </c>
      <c r="B4" s="421"/>
      <c r="C4" s="421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23"/>
      <c r="X4" s="954" t="s">
        <v>411</v>
      </c>
    </row>
    <row r="5" spans="1:25" ht="35.25" customHeight="1" x14ac:dyDescent="0.25">
      <c r="A5" s="975" t="s">
        <v>574</v>
      </c>
      <c r="B5" s="985" t="s">
        <v>575</v>
      </c>
      <c r="C5" s="987" t="s">
        <v>783</v>
      </c>
      <c r="D5" s="957" t="s">
        <v>615</v>
      </c>
      <c r="E5" s="958"/>
      <c r="F5" s="958"/>
      <c r="G5" s="959"/>
      <c r="H5" s="957" t="s">
        <v>577</v>
      </c>
      <c r="I5" s="958"/>
      <c r="J5" s="959"/>
      <c r="K5" s="977" t="s">
        <v>616</v>
      </c>
      <c r="L5" s="979" t="s">
        <v>579</v>
      </c>
      <c r="M5" s="981" t="s">
        <v>824</v>
      </c>
      <c r="N5" s="982"/>
      <c r="O5" s="982"/>
      <c r="P5" s="982"/>
      <c r="Q5" s="982"/>
      <c r="R5" s="475"/>
      <c r="S5" s="475"/>
      <c r="T5" s="475"/>
      <c r="U5" s="979" t="s">
        <v>618</v>
      </c>
      <c r="V5" s="979" t="s">
        <v>619</v>
      </c>
      <c r="W5" s="983" t="s">
        <v>582</v>
      </c>
      <c r="X5" s="954"/>
    </row>
    <row r="6" spans="1:25" ht="172.5" customHeight="1" thickBot="1" x14ac:dyDescent="0.3">
      <c r="A6" s="976"/>
      <c r="B6" s="986"/>
      <c r="C6" s="988"/>
      <c r="D6" s="515" t="s">
        <v>518</v>
      </c>
      <c r="E6" s="473" t="s">
        <v>583</v>
      </c>
      <c r="F6" s="473" t="s">
        <v>584</v>
      </c>
      <c r="G6" s="517" t="s">
        <v>620</v>
      </c>
      <c r="H6" s="520" t="s">
        <v>621</v>
      </c>
      <c r="I6" s="473" t="s">
        <v>587</v>
      </c>
      <c r="J6" s="522" t="s">
        <v>588</v>
      </c>
      <c r="K6" s="978"/>
      <c r="L6" s="980"/>
      <c r="M6" s="474" t="s">
        <v>589</v>
      </c>
      <c r="N6" s="474" t="s">
        <v>590</v>
      </c>
      <c r="O6" s="474" t="s">
        <v>591</v>
      </c>
      <c r="P6" s="474" t="s">
        <v>592</v>
      </c>
      <c r="Q6" s="439" t="s">
        <v>593</v>
      </c>
      <c r="R6" s="474" t="s">
        <v>594</v>
      </c>
      <c r="S6" s="474" t="s">
        <v>595</v>
      </c>
      <c r="T6" s="474" t="s">
        <v>596</v>
      </c>
      <c r="U6" s="980"/>
      <c r="V6" s="980"/>
      <c r="W6" s="984"/>
      <c r="X6" s="954"/>
    </row>
    <row r="7" spans="1:25" ht="19.5" customHeight="1" thickBot="1" x14ac:dyDescent="0.3">
      <c r="A7" s="270">
        <v>1</v>
      </c>
      <c r="B7" s="499"/>
      <c r="C7" s="499">
        <v>1</v>
      </c>
      <c r="D7" s="516">
        <v>2</v>
      </c>
      <c r="E7" s="514">
        <v>3</v>
      </c>
      <c r="F7" s="514">
        <v>4</v>
      </c>
      <c r="G7" s="518">
        <v>5</v>
      </c>
      <c r="H7" s="516">
        <v>6</v>
      </c>
      <c r="I7" s="514">
        <v>7</v>
      </c>
      <c r="J7" s="518">
        <v>8</v>
      </c>
      <c r="K7" s="524">
        <v>9</v>
      </c>
      <c r="L7" s="525">
        <v>10</v>
      </c>
      <c r="M7" s="525">
        <v>11</v>
      </c>
      <c r="N7" s="525">
        <v>12</v>
      </c>
      <c r="O7" s="525">
        <v>13</v>
      </c>
      <c r="P7" s="525">
        <v>14</v>
      </c>
      <c r="Q7" s="525">
        <v>15</v>
      </c>
      <c r="R7" s="525">
        <v>16</v>
      </c>
      <c r="S7" s="525">
        <v>17</v>
      </c>
      <c r="T7" s="525">
        <v>18</v>
      </c>
      <c r="U7" s="525">
        <v>19</v>
      </c>
      <c r="V7" s="525">
        <v>20</v>
      </c>
      <c r="W7" s="526">
        <v>21</v>
      </c>
      <c r="X7" s="954"/>
    </row>
    <row r="8" spans="1:25" ht="65.25" customHeight="1" thickBot="1" x14ac:dyDescent="0.3">
      <c r="A8" s="436" t="s">
        <v>622</v>
      </c>
      <c r="B8" s="430" t="s">
        <v>598</v>
      </c>
      <c r="C8" s="624">
        <f>'ДВН и профосмотр_общая '!$AD$11</f>
        <v>1141</v>
      </c>
      <c r="D8" s="625">
        <f>'ДВН и профосмотр_общая '!$AF$11</f>
        <v>526</v>
      </c>
      <c r="E8" s="626">
        <f t="shared" ref="E8" si="0">SUM(E9:E13)</f>
        <v>109</v>
      </c>
      <c r="F8" s="626">
        <f t="shared" ref="F8" si="1">SUM(F9:F13)</f>
        <v>127</v>
      </c>
      <c r="G8" s="627">
        <f t="shared" ref="G8:J8" si="2">SUM(G9:G13)</f>
        <v>48</v>
      </c>
      <c r="H8" s="625">
        <f>'ДВН и профосмотр_общая '!$AH$11</f>
        <v>526</v>
      </c>
      <c r="I8" s="626">
        <f t="shared" si="2"/>
        <v>109</v>
      </c>
      <c r="J8" s="628">
        <f t="shared" si="2"/>
        <v>127</v>
      </c>
      <c r="K8" s="629">
        <f>SUM(K9:K13)</f>
        <v>5</v>
      </c>
      <c r="L8" s="630">
        <f t="shared" ref="L8:W8" si="3">SUM(L9:L13)</f>
        <v>5</v>
      </c>
      <c r="M8" s="630">
        <f t="shared" si="3"/>
        <v>2</v>
      </c>
      <c r="N8" s="630">
        <f t="shared" si="3"/>
        <v>0</v>
      </c>
      <c r="O8" s="630">
        <f t="shared" si="3"/>
        <v>0</v>
      </c>
      <c r="P8" s="630">
        <f t="shared" si="3"/>
        <v>1</v>
      </c>
      <c r="Q8" s="630">
        <f t="shared" si="3"/>
        <v>1</v>
      </c>
      <c r="R8" s="630">
        <f t="shared" si="3"/>
        <v>0</v>
      </c>
      <c r="S8" s="630">
        <f t="shared" si="3"/>
        <v>1</v>
      </c>
      <c r="T8" s="630">
        <f t="shared" si="3"/>
        <v>1</v>
      </c>
      <c r="U8" s="630">
        <f t="shared" si="3"/>
        <v>5</v>
      </c>
      <c r="V8" s="630">
        <f t="shared" si="3"/>
        <v>5</v>
      </c>
      <c r="W8" s="631">
        <f t="shared" si="3"/>
        <v>5</v>
      </c>
      <c r="X8" s="271" t="str">
        <f>IF(OR(D8&lt;&gt;0,SUM(E8:F8)&lt;&gt;0),IF(D8&gt;=SUM(E8:F8),"ОК","гр.2 &lt; гр.3+гр.4"),"ОК")</f>
        <v>ОК</v>
      </c>
      <c r="Y8" s="431" t="s">
        <v>599</v>
      </c>
    </row>
    <row r="9" spans="1:25" ht="35.25" customHeight="1" thickBot="1" x14ac:dyDescent="0.3">
      <c r="A9" s="437" t="s">
        <v>774</v>
      </c>
      <c r="B9" s="430" t="s">
        <v>600</v>
      </c>
      <c r="C9" s="575">
        <v>300</v>
      </c>
      <c r="D9" s="576">
        <v>84</v>
      </c>
      <c r="E9" s="632">
        <v>25</v>
      </c>
      <c r="F9" s="632">
        <v>25</v>
      </c>
      <c r="G9" s="633">
        <v>14</v>
      </c>
      <c r="H9" s="576">
        <v>84</v>
      </c>
      <c r="I9" s="632">
        <v>25</v>
      </c>
      <c r="J9" s="634">
        <v>25</v>
      </c>
      <c r="K9" s="579"/>
      <c r="L9" s="577"/>
      <c r="M9" s="577"/>
      <c r="N9" s="577"/>
      <c r="O9" s="577"/>
      <c r="P9" s="577"/>
      <c r="Q9" s="577"/>
      <c r="R9" s="577"/>
      <c r="S9" s="577"/>
      <c r="T9" s="577"/>
      <c r="U9" s="577"/>
      <c r="V9" s="577"/>
      <c r="W9" s="578"/>
      <c r="X9" s="271" t="str">
        <f>IF(OR(D8&lt;&gt;0,H8&lt;&gt;0),IF(D8&lt;H8,"гр.2 &lt; гр.6","ОК"),"ОК")</f>
        <v>ОК</v>
      </c>
      <c r="Y9" s="431" t="s">
        <v>623</v>
      </c>
    </row>
    <row r="10" spans="1:25" ht="35.25" customHeight="1" thickBot="1" x14ac:dyDescent="0.3">
      <c r="A10" s="437" t="s">
        <v>775</v>
      </c>
      <c r="B10" s="430" t="s">
        <v>602</v>
      </c>
      <c r="C10" s="575">
        <v>100</v>
      </c>
      <c r="D10" s="576">
        <v>60</v>
      </c>
      <c r="E10" s="632">
        <v>21</v>
      </c>
      <c r="F10" s="632">
        <v>22</v>
      </c>
      <c r="G10" s="633">
        <v>9</v>
      </c>
      <c r="H10" s="576">
        <v>60</v>
      </c>
      <c r="I10" s="632">
        <v>21</v>
      </c>
      <c r="J10" s="634">
        <v>22</v>
      </c>
      <c r="K10" s="579">
        <v>1</v>
      </c>
      <c r="L10" s="577">
        <v>1</v>
      </c>
      <c r="M10" s="577"/>
      <c r="N10" s="577"/>
      <c r="O10" s="577"/>
      <c r="P10" s="577"/>
      <c r="Q10" s="577"/>
      <c r="R10" s="577"/>
      <c r="S10" s="577"/>
      <c r="T10" s="577">
        <v>1</v>
      </c>
      <c r="U10" s="577">
        <v>1</v>
      </c>
      <c r="V10" s="577">
        <v>1</v>
      </c>
      <c r="W10" s="578">
        <v>1</v>
      </c>
      <c r="X10" s="271" t="str">
        <f>IF(OR(H8&lt;&gt;0,SUM(I8:J8)&lt;&gt;0),IF(H8&gt;=SUM(I8:J8),"ОК","гр.6 &lt; гр.7+гр.8"),"ОК")</f>
        <v>ОК</v>
      </c>
      <c r="Y10" s="431" t="s">
        <v>624</v>
      </c>
    </row>
    <row r="11" spans="1:25" ht="35.25" customHeight="1" thickBot="1" x14ac:dyDescent="0.3">
      <c r="A11" s="437" t="s">
        <v>776</v>
      </c>
      <c r="B11" s="430" t="s">
        <v>768</v>
      </c>
      <c r="C11" s="575">
        <v>541</v>
      </c>
      <c r="D11" s="576">
        <v>136</v>
      </c>
      <c r="E11" s="632">
        <v>29</v>
      </c>
      <c r="F11" s="632">
        <v>28</v>
      </c>
      <c r="G11" s="633">
        <v>10</v>
      </c>
      <c r="H11" s="576">
        <v>136</v>
      </c>
      <c r="I11" s="632">
        <v>29</v>
      </c>
      <c r="J11" s="634">
        <v>28</v>
      </c>
      <c r="K11" s="579">
        <v>3</v>
      </c>
      <c r="L11" s="577">
        <v>3</v>
      </c>
      <c r="M11" s="577">
        <v>2</v>
      </c>
      <c r="N11" s="577"/>
      <c r="O11" s="577"/>
      <c r="P11" s="577">
        <v>1</v>
      </c>
      <c r="Q11" s="577">
        <v>1</v>
      </c>
      <c r="R11" s="577"/>
      <c r="S11" s="577"/>
      <c r="T11" s="577"/>
      <c r="U11" s="577">
        <v>3</v>
      </c>
      <c r="V11" s="577">
        <v>3</v>
      </c>
      <c r="W11" s="578">
        <v>3</v>
      </c>
      <c r="X11" s="262" t="str">
        <f>IF(OR(L8&lt;&gt;0,SUM(M8:N8,P8,R8:T8)&lt;&gt;0),IF(L8&lt;SUM(M8:N8,P8,R8:T8),"гр.10 &lt; гр.11+12+14+16+17+18","ОК"),"ОК")</f>
        <v>ОК</v>
      </c>
      <c r="Y11" s="431" t="s">
        <v>625</v>
      </c>
    </row>
    <row r="12" spans="1:25" ht="35.25" customHeight="1" thickBot="1" x14ac:dyDescent="0.3">
      <c r="A12" s="437" t="s">
        <v>777</v>
      </c>
      <c r="B12" s="430" t="s">
        <v>769</v>
      </c>
      <c r="C12" s="575">
        <v>100</v>
      </c>
      <c r="D12" s="576">
        <v>116</v>
      </c>
      <c r="E12" s="632">
        <v>17</v>
      </c>
      <c r="F12" s="632">
        <v>26</v>
      </c>
      <c r="G12" s="633">
        <v>7</v>
      </c>
      <c r="H12" s="576">
        <v>116</v>
      </c>
      <c r="I12" s="632">
        <v>17</v>
      </c>
      <c r="J12" s="634">
        <v>26</v>
      </c>
      <c r="K12" s="579">
        <v>1</v>
      </c>
      <c r="L12" s="577">
        <v>1</v>
      </c>
      <c r="M12" s="577"/>
      <c r="N12" s="577"/>
      <c r="O12" s="577"/>
      <c r="P12" s="577"/>
      <c r="Q12" s="577"/>
      <c r="R12" s="577"/>
      <c r="S12" s="577">
        <v>1</v>
      </c>
      <c r="T12" s="577"/>
      <c r="U12" s="577">
        <v>1</v>
      </c>
      <c r="V12" s="577">
        <v>1</v>
      </c>
      <c r="W12" s="578">
        <v>1</v>
      </c>
      <c r="X12" s="271" t="str">
        <f>IF(OR(U8&lt;&gt;0,K8&lt;&gt;0),IF(U8&lt;=K8,"ОК","гр.19 &gt; гр.9"),"ОК")</f>
        <v>ОК</v>
      </c>
      <c r="Y12" s="431" t="s">
        <v>626</v>
      </c>
    </row>
    <row r="13" spans="1:25" ht="35.25" customHeight="1" thickBot="1" x14ac:dyDescent="0.3">
      <c r="A13" s="437" t="s">
        <v>778</v>
      </c>
      <c r="B13" s="430" t="s">
        <v>770</v>
      </c>
      <c r="C13" s="575">
        <v>100</v>
      </c>
      <c r="D13" s="576">
        <v>130</v>
      </c>
      <c r="E13" s="632">
        <v>17</v>
      </c>
      <c r="F13" s="632">
        <v>26</v>
      </c>
      <c r="G13" s="633">
        <v>8</v>
      </c>
      <c r="H13" s="576">
        <v>130</v>
      </c>
      <c r="I13" s="632">
        <v>17</v>
      </c>
      <c r="J13" s="634">
        <v>26</v>
      </c>
      <c r="K13" s="579"/>
      <c r="L13" s="577"/>
      <c r="M13" s="577"/>
      <c r="N13" s="577"/>
      <c r="O13" s="577"/>
      <c r="P13" s="577"/>
      <c r="Q13" s="577"/>
      <c r="R13" s="577"/>
      <c r="S13" s="577"/>
      <c r="T13" s="577"/>
      <c r="U13" s="577"/>
      <c r="V13" s="577"/>
      <c r="W13" s="578"/>
      <c r="X13" s="271" t="str">
        <f>IF(OR(K8&lt;&gt;0,L8&lt;&gt;0),IF(K8&gt;L8,"гр.9 &gt; гр.10","ОК"),"ОК")</f>
        <v>ОК</v>
      </c>
      <c r="Y13" s="431" t="s">
        <v>627</v>
      </c>
    </row>
    <row r="14" spans="1:25" ht="35.25" customHeight="1" thickBot="1" x14ac:dyDescent="0.3">
      <c r="A14" s="437" t="s">
        <v>779</v>
      </c>
      <c r="B14" s="430" t="s">
        <v>771</v>
      </c>
      <c r="C14" s="510" t="s">
        <v>732</v>
      </c>
      <c r="D14" s="501" t="s">
        <v>732</v>
      </c>
      <c r="E14" s="498" t="s">
        <v>732</v>
      </c>
      <c r="F14" s="498" t="s">
        <v>732</v>
      </c>
      <c r="G14" s="519" t="s">
        <v>732</v>
      </c>
      <c r="H14" s="501" t="s">
        <v>732</v>
      </c>
      <c r="I14" s="498" t="s">
        <v>732</v>
      </c>
      <c r="J14" s="502" t="s">
        <v>732</v>
      </c>
      <c r="K14" s="500" t="s">
        <v>732</v>
      </c>
      <c r="L14" s="498" t="s">
        <v>732</v>
      </c>
      <c r="M14" s="498" t="s">
        <v>732</v>
      </c>
      <c r="N14" s="498" t="s">
        <v>732</v>
      </c>
      <c r="O14" s="498" t="s">
        <v>732</v>
      </c>
      <c r="P14" s="498" t="s">
        <v>732</v>
      </c>
      <c r="Q14" s="498" t="s">
        <v>732</v>
      </c>
      <c r="R14" s="498" t="s">
        <v>732</v>
      </c>
      <c r="S14" s="498" t="s">
        <v>732</v>
      </c>
      <c r="T14" s="498" t="s">
        <v>732</v>
      </c>
      <c r="U14" s="498" t="s">
        <v>732</v>
      </c>
      <c r="V14" s="498" t="s">
        <v>732</v>
      </c>
      <c r="W14" s="502" t="s">
        <v>732</v>
      </c>
      <c r="X14" s="271" t="str">
        <f>IF(OR(E8&lt;&gt;0,I8&lt;&gt;0),IF(E8&lt;I8,"гр.3 &lt; гр.7","ОК"),"ОК")</f>
        <v>ОК</v>
      </c>
      <c r="Y14" s="431" t="s">
        <v>628</v>
      </c>
    </row>
    <row r="15" spans="1:25" ht="35.25" customHeight="1" thickBot="1" x14ac:dyDescent="0.3">
      <c r="A15" s="437" t="s">
        <v>780</v>
      </c>
      <c r="B15" s="430" t="s">
        <v>772</v>
      </c>
      <c r="C15" s="510" t="s">
        <v>732</v>
      </c>
      <c r="D15" s="501" t="s">
        <v>732</v>
      </c>
      <c r="E15" s="498" t="s">
        <v>732</v>
      </c>
      <c r="F15" s="498" t="s">
        <v>732</v>
      </c>
      <c r="G15" s="519" t="s">
        <v>732</v>
      </c>
      <c r="H15" s="501" t="s">
        <v>732</v>
      </c>
      <c r="I15" s="498" t="s">
        <v>732</v>
      </c>
      <c r="J15" s="502" t="s">
        <v>732</v>
      </c>
      <c r="K15" s="500" t="s">
        <v>732</v>
      </c>
      <c r="L15" s="498" t="s">
        <v>732</v>
      </c>
      <c r="M15" s="509" t="s">
        <v>732</v>
      </c>
      <c r="N15" s="509" t="s">
        <v>732</v>
      </c>
      <c r="O15" s="509" t="s">
        <v>732</v>
      </c>
      <c r="P15" s="509" t="s">
        <v>732</v>
      </c>
      <c r="Q15" s="509" t="s">
        <v>732</v>
      </c>
      <c r="R15" s="509" t="s">
        <v>732</v>
      </c>
      <c r="S15" s="509" t="s">
        <v>732</v>
      </c>
      <c r="T15" s="509" t="s">
        <v>732</v>
      </c>
      <c r="U15" s="509" t="s">
        <v>732</v>
      </c>
      <c r="V15" s="498" t="s">
        <v>732</v>
      </c>
      <c r="W15" s="502" t="s">
        <v>732</v>
      </c>
      <c r="X15" s="271" t="str">
        <f>IF(OR(F8&lt;&gt;0,J8&lt;&gt;0),IF(F8&lt;J8,"гр.4 &lt; гр.8","ОК"),"ОК")</f>
        <v>ОК</v>
      </c>
      <c r="Y15" s="431" t="s">
        <v>629</v>
      </c>
    </row>
    <row r="16" spans="1:25" ht="65.25" customHeight="1" thickBot="1" x14ac:dyDescent="0.3">
      <c r="A16" s="436" t="s">
        <v>807</v>
      </c>
      <c r="B16" s="430" t="s">
        <v>800</v>
      </c>
      <c r="C16" s="511" t="s">
        <v>732</v>
      </c>
      <c r="D16" s="503" t="s">
        <v>732</v>
      </c>
      <c r="E16" s="504" t="s">
        <v>732</v>
      </c>
      <c r="F16" s="504" t="s">
        <v>732</v>
      </c>
      <c r="G16" s="507" t="s">
        <v>732</v>
      </c>
      <c r="H16" s="503" t="s">
        <v>732</v>
      </c>
      <c r="I16" s="504" t="s">
        <v>732</v>
      </c>
      <c r="J16" s="505" t="s">
        <v>732</v>
      </c>
      <c r="K16" s="512" t="s">
        <v>732</v>
      </c>
      <c r="L16" s="507" t="s">
        <v>732</v>
      </c>
      <c r="M16" s="635">
        <v>2</v>
      </c>
      <c r="N16" s="768">
        <f>N8</f>
        <v>0</v>
      </c>
      <c r="O16" s="768">
        <f t="shared" ref="O16:R16" si="4">O8</f>
        <v>0</v>
      </c>
      <c r="P16" s="768">
        <f t="shared" si="4"/>
        <v>1</v>
      </c>
      <c r="Q16" s="768">
        <f t="shared" si="4"/>
        <v>1</v>
      </c>
      <c r="R16" s="768">
        <f t="shared" si="4"/>
        <v>0</v>
      </c>
      <c r="S16" s="636">
        <v>1</v>
      </c>
      <c r="T16" s="636">
        <v>1</v>
      </c>
      <c r="U16" s="637">
        <f>$U$8</f>
        <v>5</v>
      </c>
      <c r="V16" s="508" t="s">
        <v>732</v>
      </c>
      <c r="W16" s="506" t="s">
        <v>732</v>
      </c>
      <c r="X16" s="271" t="str">
        <f>IF(OR(V8&lt;&gt;0,K8&lt;&gt;0),IF(V8&gt;K8,"гр.20 &gt; гр.9","ОК"),"ОК")</f>
        <v>ОК</v>
      </c>
      <c r="Y16" s="431" t="s">
        <v>630</v>
      </c>
    </row>
    <row r="17" spans="1:35" ht="65.25" customHeight="1" x14ac:dyDescent="0.25">
      <c r="M17" s="96"/>
      <c r="N17" s="96"/>
      <c r="O17" s="96"/>
      <c r="P17" s="96"/>
      <c r="Q17" s="96"/>
      <c r="R17" s="96"/>
      <c r="S17" s="96"/>
      <c r="T17" s="96"/>
      <c r="X17" s="272" t="str">
        <f>IF(OR(W8&lt;&gt;0,K8&lt;&gt;0),IF(W8&gt;K8,"гр.21 &gt; гр.9","ОК"),"ОК")</f>
        <v>ОК</v>
      </c>
      <c r="Y17" s="431" t="s">
        <v>631</v>
      </c>
    </row>
    <row r="18" spans="1:35" ht="65.25" customHeight="1" x14ac:dyDescent="0.25">
      <c r="A18" s="953" t="s">
        <v>828</v>
      </c>
      <c r="B18" s="953"/>
      <c r="C18" s="953"/>
      <c r="D18" s="953"/>
      <c r="E18" s="953"/>
      <c r="F18" s="953"/>
      <c r="G18" s="953"/>
      <c r="X18" s="272" t="str">
        <f>IF(OR(N8&lt;&gt;0,O8&lt;&gt;0),IF(N8&lt;O8,"гр.12 &lt; гр.13","ОК"),"ОК")</f>
        <v>ОК</v>
      </c>
      <c r="Y18" s="431" t="s">
        <v>632</v>
      </c>
    </row>
    <row r="19" spans="1:35" ht="65.25" customHeight="1" x14ac:dyDescent="0.25">
      <c r="X19" s="272" t="str">
        <f>IF(OR(P8&lt;&gt;0,Q8&lt;&gt;0),IF(P8&lt;Q8,"гр.13 &lt; гр.14","ОК"),"ОК")</f>
        <v>ОК</v>
      </c>
      <c r="Y19" s="431" t="s">
        <v>633</v>
      </c>
    </row>
    <row r="20" spans="1:35" ht="65.25" customHeight="1" x14ac:dyDescent="0.25">
      <c r="X20" s="272" t="str">
        <f>IF(OR(W8&lt;&gt;0,H8&lt;&gt;0),IF(W8&gt;H8,"гр.21 &gt; гр.6","ОК"),"ОК")</f>
        <v>ОК</v>
      </c>
      <c r="Y20" s="431" t="s">
        <v>634</v>
      </c>
    </row>
    <row r="21" spans="1:35" ht="65.25" customHeight="1" x14ac:dyDescent="0.25">
      <c r="B21" s="264"/>
      <c r="C21" s="264"/>
      <c r="X21" s="242" t="str">
        <f>IF(AA21&gt;0,"стр.2 &gt; стр.1 по графе "&amp;Z21,"ОК")</f>
        <v>ОК</v>
      </c>
      <c r="Y21" s="431" t="s">
        <v>816</v>
      </c>
      <c r="Z21" s="266" t="str">
        <f>IF(AA21&gt;0,INDEX($M$7:$T$7,1,AA21),CHAR(151))</f>
        <v>—</v>
      </c>
      <c r="AA21" s="47">
        <f>IF(ISERROR(MATCH(FALSE,AC21:AI21,0)),0,MATCH(FALSE,AC21:AI21,0))</f>
        <v>0</v>
      </c>
      <c r="AB21" s="450" t="b">
        <f>IF(OR(M16&lt;&gt;0,M8&lt;&gt;0),IF(M16&lt;=M8,TRUE,FALSE),TRUE)</f>
        <v>1</v>
      </c>
      <c r="AC21" s="450" t="b">
        <f t="shared" ref="AC21:AI21" si="5">IF(OR(N16&lt;&gt;0,N8&lt;&gt;0),IF(N16&lt;=N8,TRUE,FALSE),TRUE)</f>
        <v>1</v>
      </c>
      <c r="AD21" s="450" t="b">
        <f t="shared" si="5"/>
        <v>1</v>
      </c>
      <c r="AE21" s="450" t="b">
        <f t="shared" si="5"/>
        <v>1</v>
      </c>
      <c r="AF21" s="450" t="b">
        <f t="shared" si="5"/>
        <v>1</v>
      </c>
      <c r="AG21" s="450" t="b">
        <f t="shared" si="5"/>
        <v>1</v>
      </c>
      <c r="AH21" s="450" t="b">
        <f t="shared" si="5"/>
        <v>1</v>
      </c>
      <c r="AI21" s="450" t="b">
        <f t="shared" si="5"/>
        <v>1</v>
      </c>
    </row>
    <row r="22" spans="1:35" ht="79.5" customHeight="1" x14ac:dyDescent="0.25">
      <c r="X22" s="242" t="str">
        <f>IF(Z22=FALSE,"гр.2 стр.1 ≠ гр.2(со стр.1.1 по стр.1.5)","ОК")</f>
        <v>ОК</v>
      </c>
      <c r="Y22" s="431" t="s">
        <v>817</v>
      </c>
      <c r="Z22" s="450" t="b">
        <f>IF(OR(D8&lt;&gt;0,SUM(D9:D13)&lt;&gt;0),IF(D8=SUM(D9:D13),TRUE,FALSE),TRUE)</f>
        <v>1</v>
      </c>
    </row>
    <row r="23" spans="1:35" ht="93.75" customHeight="1" x14ac:dyDescent="0.25">
      <c r="X23" s="242" t="str">
        <f>IF(Z23=FALSE,"гр.6 стр.1 ≠ гр.6(со стр.1.1 по стр.1.5)","ОК")</f>
        <v>ОК</v>
      </c>
      <c r="Y23" s="431" t="s">
        <v>818</v>
      </c>
      <c r="Z23" s="450" t="b">
        <f>IF(OR(H8&lt;&gt;0,SUM(H9:H13)&lt;&gt;0),IF(H8=SUM(H9:H13),TRUE,FALSE),TRUE)</f>
        <v>1</v>
      </c>
    </row>
  </sheetData>
  <sheetProtection password="DB70" sheet="1" objects="1" scenarios="1" autoFilter="0"/>
  <mergeCells count="15">
    <mergeCell ref="A18:G18"/>
    <mergeCell ref="D1:L1"/>
    <mergeCell ref="A3:L3"/>
    <mergeCell ref="X4:X7"/>
    <mergeCell ref="A5:A6"/>
    <mergeCell ref="D5:G5"/>
    <mergeCell ref="H5:J5"/>
    <mergeCell ref="K5:K6"/>
    <mergeCell ref="L5:L6"/>
    <mergeCell ref="M5:Q5"/>
    <mergeCell ref="U5:U6"/>
    <mergeCell ref="V5:V6"/>
    <mergeCell ref="W5:W6"/>
    <mergeCell ref="B5:B6"/>
    <mergeCell ref="C5:C6"/>
  </mergeCells>
  <conditionalFormatting sqref="X8">
    <cfRule type="expression" dxfId="38" priority="17" stopIfTrue="1">
      <formula>X8&lt;&gt;"ОК"</formula>
    </cfRule>
  </conditionalFormatting>
  <conditionalFormatting sqref="X9">
    <cfRule type="expression" dxfId="37" priority="16" stopIfTrue="1">
      <formula>X9&lt;&gt;"ОК"</formula>
    </cfRule>
  </conditionalFormatting>
  <conditionalFormatting sqref="X10">
    <cfRule type="expression" dxfId="36" priority="15" stopIfTrue="1">
      <formula>X10&lt;&gt;"ОК"</formula>
    </cfRule>
  </conditionalFormatting>
  <conditionalFormatting sqref="X13">
    <cfRule type="expression" dxfId="35" priority="14" stopIfTrue="1">
      <formula>X13&lt;&gt;"ОК"</formula>
    </cfRule>
  </conditionalFormatting>
  <conditionalFormatting sqref="X14">
    <cfRule type="expression" dxfId="34" priority="13" stopIfTrue="1">
      <formula>X14&lt;&gt;"ОК"</formula>
    </cfRule>
  </conditionalFormatting>
  <conditionalFormatting sqref="X15">
    <cfRule type="expression" dxfId="33" priority="12" stopIfTrue="1">
      <formula>X15&lt;&gt;"ОК"</formula>
    </cfRule>
  </conditionalFormatting>
  <conditionalFormatting sqref="X11">
    <cfRule type="expression" dxfId="32" priority="11" stopIfTrue="1">
      <formula>X11&lt;&gt;"ОК"</formula>
    </cfRule>
  </conditionalFormatting>
  <conditionalFormatting sqref="X12">
    <cfRule type="expression" dxfId="31" priority="10" stopIfTrue="1">
      <formula>X12&lt;&gt;"ОК"</formula>
    </cfRule>
  </conditionalFormatting>
  <conditionalFormatting sqref="X16">
    <cfRule type="expression" dxfId="30" priority="9" stopIfTrue="1">
      <formula>X16&lt;&gt;"ОК"</formula>
    </cfRule>
  </conditionalFormatting>
  <conditionalFormatting sqref="X17">
    <cfRule type="expression" dxfId="29" priority="8" stopIfTrue="1">
      <formula>X17&lt;&gt;"ОК"</formula>
    </cfRule>
  </conditionalFormatting>
  <conditionalFormatting sqref="X18">
    <cfRule type="expression" dxfId="28" priority="7" stopIfTrue="1">
      <formula>X18&lt;&gt;"ОК"</formula>
    </cfRule>
  </conditionalFormatting>
  <conditionalFormatting sqref="X19">
    <cfRule type="expression" dxfId="27" priority="6" stopIfTrue="1">
      <formula>X19&lt;&gt;"ОК"</formula>
    </cfRule>
  </conditionalFormatting>
  <conditionalFormatting sqref="X20">
    <cfRule type="expression" dxfId="26" priority="5" stopIfTrue="1">
      <formula>X20&lt;&gt;"ОК"</formula>
    </cfRule>
  </conditionalFormatting>
  <conditionalFormatting sqref="X22">
    <cfRule type="expression" dxfId="25" priority="2" stopIfTrue="1">
      <formula>X22&lt;&gt;"ОК"</formula>
    </cfRule>
  </conditionalFormatting>
  <conditionalFormatting sqref="X21">
    <cfRule type="expression" dxfId="24" priority="3" stopIfTrue="1">
      <formula>X21&lt;&gt;"ОК"</formula>
    </cfRule>
  </conditionalFormatting>
  <conditionalFormatting sqref="X23">
    <cfRule type="expression" dxfId="23" priority="1" stopIfTrue="1">
      <formula>X23&lt;&gt;"ОК"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I8:T8 K9:T13 U8:U11 V8:W13 E8:G8">
      <formula1>AND($A$1=TRUE,ISNUMBER(E8),E8&gt;=0,IF(ISERROR(SEARCH(",?",E8)),0,1)=0)</formula1>
    </dataValidation>
  </dataValidations>
  <pageMargins left="0.7" right="0.7" top="0.75" bottom="0.75" header="0.3" footer="0.3"/>
  <pageSetup paperSize="9" scale="2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E903D9"/>
    <pageSetUpPr fitToPage="1"/>
  </sheetPr>
  <dimension ref="A1:O16"/>
  <sheetViews>
    <sheetView zoomScale="85" zoomScaleNormal="85" workbookViewId="0">
      <selection activeCell="E12" sqref="E12"/>
    </sheetView>
  </sheetViews>
  <sheetFormatPr defaultColWidth="9.140625" defaultRowHeight="15.75" x14ac:dyDescent="0.25"/>
  <cols>
    <col min="1" max="1" width="33.5703125" style="5" customWidth="1"/>
    <col min="2" max="2" width="14.42578125" style="5" customWidth="1"/>
    <col min="3" max="3" width="15.140625" style="5" customWidth="1"/>
    <col min="4" max="4" width="15.85546875" style="5" customWidth="1"/>
    <col min="5" max="5" width="21.85546875" style="5" customWidth="1"/>
    <col min="6" max="6" width="24" style="5" customWidth="1"/>
    <col min="7" max="7" width="44.28515625" style="5" customWidth="1"/>
    <col min="8" max="9" width="9.140625" style="5" hidden="1" customWidth="1"/>
    <col min="10" max="10" width="44.5703125" style="5" hidden="1" customWidth="1"/>
    <col min="11" max="15" width="9.140625" style="5" hidden="1" customWidth="1"/>
    <col min="16" max="16384" width="9.140625" style="5"/>
  </cols>
  <sheetData>
    <row r="1" spans="1:15" x14ac:dyDescent="0.25">
      <c r="A1" s="255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991"/>
      <c r="C1" s="991"/>
      <c r="D1" s="991"/>
      <c r="E1" s="991"/>
      <c r="F1" s="991"/>
      <c r="G1" s="991"/>
      <c r="H1" s="991"/>
      <c r="I1" s="991"/>
    </row>
    <row r="2" spans="1:15" ht="51.75" customHeight="1" x14ac:dyDescent="0.25">
      <c r="A2" s="274" t="s">
        <v>635</v>
      </c>
      <c r="B2" s="992" t="s">
        <v>636</v>
      </c>
      <c r="C2" s="992"/>
      <c r="D2" s="992"/>
      <c r="E2" s="992"/>
      <c r="F2" s="992"/>
      <c r="G2" s="992"/>
      <c r="H2" s="992"/>
      <c r="I2" s="992"/>
    </row>
    <row r="4" spans="1:15" ht="16.5" thickBot="1" x14ac:dyDescent="0.3">
      <c r="B4" s="993" t="s">
        <v>637</v>
      </c>
      <c r="C4" s="993"/>
      <c r="D4" s="993"/>
      <c r="E4" s="993"/>
      <c r="F4" s="993"/>
      <c r="G4" s="273"/>
      <c r="H4" s="273"/>
      <c r="I4" s="273"/>
    </row>
    <row r="5" spans="1:15" ht="111.75" customHeight="1" thickBot="1" x14ac:dyDescent="0.3">
      <c r="A5" s="275" t="s">
        <v>638</v>
      </c>
      <c r="B5" s="276" t="s">
        <v>639</v>
      </c>
      <c r="C5" s="276" t="s">
        <v>640</v>
      </c>
      <c r="D5" s="277" t="s">
        <v>641</v>
      </c>
      <c r="E5" s="278" t="s">
        <v>642</v>
      </c>
      <c r="F5" s="279" t="s">
        <v>643</v>
      </c>
      <c r="G5" s="994" t="s">
        <v>411</v>
      </c>
    </row>
    <row r="6" spans="1:15" s="284" customFormat="1" ht="13.5" customHeight="1" thickBot="1" x14ac:dyDescent="0.25">
      <c r="A6" s="280">
        <v>1</v>
      </c>
      <c r="B6" s="281">
        <v>2</v>
      </c>
      <c r="C6" s="281">
        <v>3</v>
      </c>
      <c r="D6" s="282">
        <v>4</v>
      </c>
      <c r="E6" s="283">
        <v>5</v>
      </c>
      <c r="F6" s="283">
        <v>6</v>
      </c>
      <c r="G6" s="995"/>
    </row>
    <row r="7" spans="1:15" ht="56.25" customHeight="1" x14ac:dyDescent="0.25">
      <c r="A7" s="285" t="s">
        <v>220</v>
      </c>
      <c r="B7" s="638">
        <f>'ДВН-124н'!M8</f>
        <v>3</v>
      </c>
      <c r="C7" s="638">
        <f>'профосмотры 124н'!M8</f>
        <v>2</v>
      </c>
      <c r="D7" s="639">
        <f>B7+C7</f>
        <v>5</v>
      </c>
      <c r="E7" s="640">
        <v>82</v>
      </c>
      <c r="F7" s="641">
        <f t="shared" ref="F7:F12" si="0">IF(ISERROR(D7/E7*100),0,D7/E7*100)</f>
        <v>6.0975609756097562</v>
      </c>
      <c r="G7" s="996" t="str">
        <f>IF(I7&gt;0,"гр.5 &lt; гр.4 по строке «"&amp;H7&amp;"»","ОК")</f>
        <v>ОК</v>
      </c>
      <c r="H7" s="46" t="str">
        <f>IF(I7&gt;0,INDEX($A$7:$A$11,I7,1),CHAR(151))</f>
        <v>—</v>
      </c>
      <c r="I7" s="47">
        <f>IF(ISERROR(MATCH(FALSE,K7:O7,0)),0,MATCH(FALSE,K7:O7,0))</f>
        <v>0</v>
      </c>
      <c r="J7" s="263" t="s">
        <v>644</v>
      </c>
      <c r="K7" s="47" t="b">
        <f>IF(OR($E7&lt;&gt;0,$D7&lt;&gt;0),IF($E7&gt;=$D7,TRUE,FALSE),TRUE)</f>
        <v>1</v>
      </c>
      <c r="L7" s="47" t="b">
        <f>IF(OR($E8&lt;&gt;0,$D8&lt;&gt;0),IF($E8&gt;=$D8,TRUE,FALSE),TRUE)</f>
        <v>1</v>
      </c>
      <c r="M7" s="47" t="b">
        <f>IF(OR($E9&lt;&gt;0,$D9&lt;&gt;0),IF($E9&gt;=$D9,TRUE,FALSE),TRUE)</f>
        <v>1</v>
      </c>
      <c r="N7" s="47" t="b">
        <f>IF(OR($E10&lt;&gt;0,$D10&lt;&gt;0),IF($E10&gt;=$D10,TRUE,FALSE),TRUE)</f>
        <v>1</v>
      </c>
      <c r="O7" s="47" t="b">
        <f>IF(OR($E11&lt;&gt;0,$D11&lt;&gt;0),IF($E11&gt;=$D11,TRUE,FALSE),TRUE)</f>
        <v>1</v>
      </c>
    </row>
    <row r="8" spans="1:15" ht="33" customHeight="1" x14ac:dyDescent="0.25">
      <c r="A8" s="286" t="s">
        <v>178</v>
      </c>
      <c r="B8" s="642">
        <f>'ДВН-124н'!N8</f>
        <v>0</v>
      </c>
      <c r="C8" s="642">
        <f>'профосмотры 124н'!N8</f>
        <v>0</v>
      </c>
      <c r="D8" s="643">
        <f>B8+C8</f>
        <v>0</v>
      </c>
      <c r="E8" s="644">
        <v>13</v>
      </c>
      <c r="F8" s="645">
        <f t="shared" si="0"/>
        <v>0</v>
      </c>
      <c r="G8" s="997"/>
    </row>
    <row r="9" spans="1:15" ht="27" customHeight="1" x14ac:dyDescent="0.25">
      <c r="A9" s="286" t="s">
        <v>645</v>
      </c>
      <c r="B9" s="642">
        <f>'ДВН-124н'!P8</f>
        <v>1</v>
      </c>
      <c r="C9" s="642">
        <f>'профосмотры 124н'!P8</f>
        <v>1</v>
      </c>
      <c r="D9" s="643">
        <f>B9+C9</f>
        <v>2</v>
      </c>
      <c r="E9" s="646">
        <f>E10+E11</f>
        <v>17</v>
      </c>
      <c r="F9" s="645">
        <f t="shared" si="0"/>
        <v>11.76470588235294</v>
      </c>
      <c r="G9" s="997"/>
    </row>
    <row r="10" spans="1:15" ht="18" customHeight="1" x14ac:dyDescent="0.25">
      <c r="A10" s="287" t="s">
        <v>646</v>
      </c>
      <c r="B10" s="642">
        <f>'ДВН-124н'!Q8</f>
        <v>0</v>
      </c>
      <c r="C10" s="642">
        <f>'профосмотры 124н'!Q8</f>
        <v>1</v>
      </c>
      <c r="D10" s="643">
        <f>B10+C10</f>
        <v>1</v>
      </c>
      <c r="E10" s="644">
        <v>2</v>
      </c>
      <c r="F10" s="645">
        <f t="shared" si="0"/>
        <v>50</v>
      </c>
      <c r="G10" s="997"/>
    </row>
    <row r="11" spans="1:15" ht="23.25" customHeight="1" thickBot="1" x14ac:dyDescent="0.3">
      <c r="A11" s="288" t="s">
        <v>647</v>
      </c>
      <c r="B11" s="647">
        <f>B9-B10</f>
        <v>1</v>
      </c>
      <c r="C11" s="647">
        <f>C9-C10</f>
        <v>0</v>
      </c>
      <c r="D11" s="648">
        <f>B11+C11</f>
        <v>1</v>
      </c>
      <c r="E11" s="649">
        <v>15</v>
      </c>
      <c r="F11" s="650">
        <f t="shared" si="0"/>
        <v>6.666666666666667</v>
      </c>
      <c r="G11" s="998"/>
    </row>
    <row r="12" spans="1:15" ht="27" customHeight="1" thickBot="1" x14ac:dyDescent="0.3">
      <c r="A12" s="289" t="s">
        <v>501</v>
      </c>
      <c r="B12" s="290">
        <f>B7+B8+B9</f>
        <v>4</v>
      </c>
      <c r="C12" s="290">
        <f>C7+C8+C9</f>
        <v>3</v>
      </c>
      <c r="D12" s="291">
        <f>D7+D8+D9</f>
        <v>7</v>
      </c>
      <c r="E12" s="292">
        <f>E7+E8+E9</f>
        <v>112</v>
      </c>
      <c r="F12" s="293">
        <f t="shared" si="0"/>
        <v>6.25</v>
      </c>
    </row>
    <row r="13" spans="1:15" x14ac:dyDescent="0.25">
      <c r="B13" s="990"/>
      <c r="C13" s="990"/>
    </row>
    <row r="16" spans="1:15" ht="20.25" x14ac:dyDescent="0.25">
      <c r="A16" s="989" t="s">
        <v>828</v>
      </c>
      <c r="B16" s="989"/>
      <c r="C16" s="989"/>
      <c r="D16" s="989"/>
      <c r="E16" s="989"/>
      <c r="F16" s="989"/>
      <c r="G16" s="989"/>
    </row>
  </sheetData>
  <sheetProtection password="DB70" sheet="1" objects="1" scenarios="1" autoFilter="0"/>
  <mergeCells count="7">
    <mergeCell ref="A16:G16"/>
    <mergeCell ref="B13:C13"/>
    <mergeCell ref="B1:I1"/>
    <mergeCell ref="B2:I2"/>
    <mergeCell ref="B4:F4"/>
    <mergeCell ref="G5:G6"/>
    <mergeCell ref="G7:G11"/>
  </mergeCells>
  <conditionalFormatting sqref="G7">
    <cfRule type="expression" dxfId="22" priority="1" stopIfTrue="1">
      <formula>G7&lt;&gt;"ОК"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E7:E11">
      <formula1>AND($A$1=TRUE,ISNUMBER(E7),E7&gt;=0,IF(ISERROR(SEARCH(",?",E7)),0,1)=0)</formula1>
    </dataValidation>
  </dataValidation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8" tint="0.39997558519241921"/>
    <pageSetUpPr fitToPage="1"/>
  </sheetPr>
  <dimension ref="A1:AV30"/>
  <sheetViews>
    <sheetView zoomScale="55" zoomScaleNormal="55" workbookViewId="0">
      <selection activeCell="Q13" sqref="Q13:Q15"/>
    </sheetView>
  </sheetViews>
  <sheetFormatPr defaultColWidth="9.140625" defaultRowHeight="15" x14ac:dyDescent="0.25"/>
  <cols>
    <col min="1" max="1" width="20" style="301" customWidth="1"/>
    <col min="2" max="2" width="4.85546875" style="297" customWidth="1"/>
    <col min="3" max="3" width="36.5703125" style="301" customWidth="1"/>
    <col min="4" max="4" width="12.5703125" style="297" customWidth="1"/>
    <col min="5" max="5" width="12" style="297" customWidth="1"/>
    <col min="6" max="6" width="11.28515625" style="297" customWidth="1"/>
    <col min="7" max="7" width="13.5703125" style="297" customWidth="1"/>
    <col min="8" max="9" width="11.5703125" style="297" customWidth="1"/>
    <col min="10" max="10" width="11.85546875" style="297" customWidth="1"/>
    <col min="11" max="11" width="11.5703125" style="297" customWidth="1"/>
    <col min="12" max="12" width="11" style="297" customWidth="1"/>
    <col min="13" max="13" width="10.7109375" style="297" customWidth="1"/>
    <col min="14" max="14" width="11.7109375" style="297" customWidth="1"/>
    <col min="15" max="15" width="11.42578125" style="297" customWidth="1"/>
    <col min="16" max="16" width="12.140625" style="304" customWidth="1"/>
    <col min="17" max="17" width="17.140625" style="297" customWidth="1"/>
    <col min="18" max="18" width="15.140625" style="297" customWidth="1"/>
    <col min="19" max="19" width="16.28515625" style="297" customWidth="1"/>
    <col min="20" max="20" width="17.7109375" style="297" customWidth="1"/>
    <col min="21" max="21" width="16.42578125" style="297" customWidth="1"/>
    <col min="22" max="22" width="94.7109375" style="297" customWidth="1"/>
    <col min="23" max="24" width="9.140625" style="297" hidden="1" customWidth="1"/>
    <col min="25" max="25" width="30.28515625" style="297" hidden="1" customWidth="1"/>
    <col min="26" max="43" width="9.140625" style="297" hidden="1" customWidth="1"/>
    <col min="44" max="44" width="10.42578125" style="297" customWidth="1"/>
    <col min="45" max="16384" width="9.140625" style="297"/>
  </cols>
  <sheetData>
    <row r="1" spans="1:44" ht="37.5" customHeight="1" x14ac:dyDescent="0.3">
      <c r="A1" s="294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1011" t="s">
        <v>648</v>
      </c>
      <c r="C1" s="1011"/>
      <c r="D1" s="1011"/>
      <c r="E1" s="1011"/>
      <c r="F1" s="1011"/>
      <c r="G1" s="1011"/>
      <c r="H1" s="1011"/>
      <c r="I1" s="1011"/>
      <c r="J1" s="1011"/>
      <c r="K1" s="295"/>
      <c r="L1" s="295"/>
      <c r="M1" s="295"/>
      <c r="N1" s="295"/>
      <c r="O1" s="295"/>
      <c r="P1" s="296"/>
      <c r="Q1" s="295"/>
    </row>
    <row r="2" spans="1:44" ht="18.75" x14ac:dyDescent="0.3">
      <c r="A2" s="298" t="b">
        <f>AND('ДВН и профосмотр_общая '!$F$2&lt;&gt;0,'ДВН и профосмотр_общая '!$F$4&lt;&gt;0,'ДВН и профосмотр_общая '!$D$13&lt;&gt;0,'ДВН и профосмотр_общая '!$D$14&lt;&gt;0,'ДВН и профосмотр_общая '!$D$15&lt;&gt;0)</f>
        <v>1</v>
      </c>
      <c r="B2" s="299"/>
      <c r="C2" s="1012" t="s">
        <v>649</v>
      </c>
      <c r="D2" s="1013"/>
      <c r="E2" s="1013"/>
      <c r="F2" s="1013"/>
      <c r="G2" s="299"/>
      <c r="H2" s="299"/>
      <c r="I2" s="299"/>
      <c r="J2" s="299"/>
      <c r="K2" s="299"/>
      <c r="L2" s="299"/>
      <c r="M2" s="299"/>
      <c r="N2" s="299"/>
      <c r="O2" s="299"/>
      <c r="P2" s="300"/>
    </row>
    <row r="3" spans="1:44" ht="15.75" thickBot="1" x14ac:dyDescent="0.3">
      <c r="M3" s="302">
        <f>L8+M8+N8</f>
        <v>800</v>
      </c>
      <c r="N3" s="303">
        <f>L9+M9+N9</f>
        <v>80</v>
      </c>
    </row>
    <row r="4" spans="1:44" ht="60.75" hidden="1" thickBot="1" x14ac:dyDescent="0.3">
      <c r="F4" s="301" t="s">
        <v>650</v>
      </c>
      <c r="G4" s="301" t="s">
        <v>651</v>
      </c>
      <c r="H4" s="297">
        <v>4</v>
      </c>
      <c r="J4" s="301" t="s">
        <v>652</v>
      </c>
      <c r="K4" s="301" t="s">
        <v>653</v>
      </c>
      <c r="L4" s="301"/>
      <c r="M4" s="301"/>
      <c r="N4" s="301"/>
      <c r="O4" s="301"/>
      <c r="P4" s="305"/>
      <c r="Q4" s="297">
        <v>5</v>
      </c>
      <c r="R4" s="297">
        <v>6</v>
      </c>
      <c r="S4" s="297">
        <v>7</v>
      </c>
      <c r="T4" s="297">
        <v>8</v>
      </c>
      <c r="U4" s="297">
        <v>9</v>
      </c>
    </row>
    <row r="5" spans="1:44" ht="35.25" customHeight="1" thickBot="1" x14ac:dyDescent="0.3">
      <c r="A5" s="1014" t="s">
        <v>654</v>
      </c>
      <c r="B5" s="1016" t="s">
        <v>655</v>
      </c>
      <c r="C5" s="1018" t="s">
        <v>656</v>
      </c>
      <c r="D5" s="1020" t="s">
        <v>657</v>
      </c>
      <c r="E5" s="1021"/>
      <c r="F5" s="1022"/>
      <c r="G5" s="1023"/>
      <c r="H5" s="999" t="s">
        <v>658</v>
      </c>
      <c r="I5" s="1000"/>
      <c r="J5" s="1000"/>
      <c r="K5" s="1001"/>
      <c r="L5" s="999" t="s">
        <v>659</v>
      </c>
      <c r="M5" s="1000"/>
      <c r="N5" s="1000"/>
      <c r="O5" s="1000"/>
      <c r="P5" s="1001"/>
      <c r="Q5" s="1002" t="s">
        <v>660</v>
      </c>
      <c r="R5" s="1000"/>
      <c r="S5" s="1000"/>
      <c r="T5" s="1000"/>
      <c r="U5" s="1001"/>
      <c r="V5" s="954" t="str">
        <f>IF(W6&gt;0,INDEX(V12:V23,W6,1),"Проверка")</f>
        <v>Проверка</v>
      </c>
    </row>
    <row r="6" spans="1:44" ht="83.25" customHeight="1" thickBot="1" x14ac:dyDescent="0.3">
      <c r="A6" s="1015"/>
      <c r="B6" s="1017"/>
      <c r="C6" s="1019"/>
      <c r="D6" s="306" t="s">
        <v>172</v>
      </c>
      <c r="E6" s="307" t="s">
        <v>661</v>
      </c>
      <c r="F6" s="308" t="s">
        <v>662</v>
      </c>
      <c r="G6" s="476" t="s">
        <v>663</v>
      </c>
      <c r="H6" s="484" t="s">
        <v>172</v>
      </c>
      <c r="I6" s="478" t="s">
        <v>664</v>
      </c>
      <c r="J6" s="477" t="s">
        <v>665</v>
      </c>
      <c r="K6" s="485" t="s">
        <v>666</v>
      </c>
      <c r="L6" s="482" t="s">
        <v>523</v>
      </c>
      <c r="M6" s="479" t="s">
        <v>667</v>
      </c>
      <c r="N6" s="479" t="s">
        <v>525</v>
      </c>
      <c r="O6" s="479" t="s">
        <v>668</v>
      </c>
      <c r="P6" s="483" t="s">
        <v>669</v>
      </c>
      <c r="Q6" s="480" t="s">
        <v>670</v>
      </c>
      <c r="R6" s="361" t="s">
        <v>671</v>
      </c>
      <c r="S6" s="361" t="s">
        <v>672</v>
      </c>
      <c r="T6" s="361" t="s">
        <v>673</v>
      </c>
      <c r="U6" s="481" t="s">
        <v>674</v>
      </c>
      <c r="V6" s="954"/>
    </row>
    <row r="7" spans="1:44" ht="15.75" customHeight="1" thickBot="1" x14ac:dyDescent="0.3">
      <c r="A7" s="309">
        <v>1</v>
      </c>
      <c r="B7" s="310"/>
      <c r="C7" s="433">
        <v>2</v>
      </c>
      <c r="D7" s="311">
        <v>3</v>
      </c>
      <c r="E7" s="312" t="s">
        <v>675</v>
      </c>
      <c r="F7" s="313" t="s">
        <v>676</v>
      </c>
      <c r="G7" s="314" t="s">
        <v>677</v>
      </c>
      <c r="H7" s="486">
        <v>4</v>
      </c>
      <c r="I7" s="487" t="s">
        <v>678</v>
      </c>
      <c r="J7" s="487" t="s">
        <v>348</v>
      </c>
      <c r="K7" s="488" t="s">
        <v>351</v>
      </c>
      <c r="L7" s="489" t="s">
        <v>472</v>
      </c>
      <c r="M7" s="490" t="s">
        <v>679</v>
      </c>
      <c r="N7" s="490" t="s">
        <v>680</v>
      </c>
      <c r="O7" s="490" t="s">
        <v>681</v>
      </c>
      <c r="P7" s="491" t="s">
        <v>682</v>
      </c>
      <c r="Q7" s="486">
        <v>5</v>
      </c>
      <c r="R7" s="492">
        <v>6</v>
      </c>
      <c r="S7" s="492">
        <v>7</v>
      </c>
      <c r="T7" s="492">
        <v>8</v>
      </c>
      <c r="U7" s="493">
        <v>9</v>
      </c>
      <c r="V7" s="954"/>
    </row>
    <row r="8" spans="1:44" s="319" customFormat="1" ht="36.75" customHeight="1" thickBot="1" x14ac:dyDescent="0.3">
      <c r="A8" s="1003" t="s">
        <v>683</v>
      </c>
      <c r="B8" s="315">
        <v>1</v>
      </c>
      <c r="C8" s="316" t="s">
        <v>172</v>
      </c>
      <c r="D8" s="651">
        <f>SUM(D10:D11)</f>
        <v>800</v>
      </c>
      <c r="E8" s="652">
        <f t="shared" ref="E8:U8" si="0">SUM(E10:E11)</f>
        <v>800</v>
      </c>
      <c r="F8" s="652">
        <f t="shared" si="0"/>
        <v>400</v>
      </c>
      <c r="G8" s="653">
        <f t="shared" si="0"/>
        <v>400</v>
      </c>
      <c r="H8" s="651">
        <f t="shared" si="0"/>
        <v>800</v>
      </c>
      <c r="I8" s="652">
        <f t="shared" si="0"/>
        <v>800</v>
      </c>
      <c r="J8" s="652">
        <f t="shared" si="0"/>
        <v>401</v>
      </c>
      <c r="K8" s="653">
        <f t="shared" si="0"/>
        <v>399</v>
      </c>
      <c r="L8" s="651">
        <f t="shared" si="0"/>
        <v>263</v>
      </c>
      <c r="M8" s="652">
        <f t="shared" si="0"/>
        <v>38</v>
      </c>
      <c r="N8" s="652">
        <f t="shared" si="0"/>
        <v>499</v>
      </c>
      <c r="O8" s="652">
        <f t="shared" si="0"/>
        <v>496</v>
      </c>
      <c r="P8" s="653">
        <f t="shared" si="0"/>
        <v>3</v>
      </c>
      <c r="Q8" s="651">
        <f t="shared" si="0"/>
        <v>0</v>
      </c>
      <c r="R8" s="652">
        <f t="shared" si="0"/>
        <v>797</v>
      </c>
      <c r="S8" s="652">
        <f t="shared" si="0"/>
        <v>3</v>
      </c>
      <c r="T8" s="652">
        <f t="shared" si="0"/>
        <v>0</v>
      </c>
      <c r="U8" s="653">
        <f t="shared" si="0"/>
        <v>0</v>
      </c>
      <c r="V8" s="262" t="str">
        <f>IF(X8&gt;0,"гр.4 ≠ гр.6+гр.7 по строке "&amp;W8,"ОК")</f>
        <v>ОК</v>
      </c>
      <c r="W8" s="46" t="str">
        <f t="shared" ref="W8:W15" si="1">IF(X8&gt;0,INDEX($B$8:$B$19,X8,1),CHAR(151))</f>
        <v>—</v>
      </c>
      <c r="X8" s="47">
        <f t="shared" ref="X8:X15" si="2">IF(ISERROR(MATCH(FALSE,Z8:AK8,0)),0,MATCH(FALSE,Z8:AK8,0))</f>
        <v>0</v>
      </c>
      <c r="Y8" s="317" t="s">
        <v>684</v>
      </c>
      <c r="Z8" s="47" t="b">
        <f>$H8=SUM($R8:$S8)</f>
        <v>1</v>
      </c>
      <c r="AA8" s="47" t="b">
        <f>$H9=SUM($R9:$S9)</f>
        <v>1</v>
      </c>
      <c r="AB8" s="47" t="b">
        <f>$H10=SUM($R10:$S10)</f>
        <v>1</v>
      </c>
      <c r="AC8" s="47" t="b">
        <f>$H11=SUM($R11:$S11)</f>
        <v>1</v>
      </c>
      <c r="AD8" s="47" t="b">
        <f>$H12=SUM($R12:$S12)</f>
        <v>1</v>
      </c>
      <c r="AE8" s="47" t="b">
        <f>$H13=SUM($R13:$S13)</f>
        <v>1</v>
      </c>
      <c r="AF8" s="47" t="b">
        <f>$H14=SUM($R14:$S14)</f>
        <v>1</v>
      </c>
      <c r="AG8" s="47" t="b">
        <f>$H15=SUM($R15:$S15)</f>
        <v>1</v>
      </c>
      <c r="AH8" s="47" t="b">
        <f>$H16=SUM($R16:$S16)</f>
        <v>1</v>
      </c>
      <c r="AI8" s="318" t="b">
        <f>$H17=SUM($R17:$S17)</f>
        <v>1</v>
      </c>
      <c r="AJ8" s="318" t="b">
        <f>$H18=SUM($R18:$S18)</f>
        <v>1</v>
      </c>
      <c r="AK8" s="318" t="b">
        <f>$H19=SUM($R19:$S19)</f>
        <v>1</v>
      </c>
    </row>
    <row r="9" spans="1:44" s="319" customFormat="1" ht="39.75" customHeight="1" x14ac:dyDescent="0.25">
      <c r="A9" s="1004"/>
      <c r="B9" s="320">
        <v>2</v>
      </c>
      <c r="C9" s="321" t="s">
        <v>685</v>
      </c>
      <c r="D9" s="654">
        <f>F9+G9</f>
        <v>80</v>
      </c>
      <c r="E9" s="655">
        <v>80</v>
      </c>
      <c r="F9" s="656">
        <v>40</v>
      </c>
      <c r="G9" s="657">
        <v>40</v>
      </c>
      <c r="H9" s="654">
        <f t="shared" ref="H9:H15" si="3">J9+K9</f>
        <v>80</v>
      </c>
      <c r="I9" s="655">
        <v>80</v>
      </c>
      <c r="J9" s="656">
        <v>40</v>
      </c>
      <c r="K9" s="657">
        <v>40</v>
      </c>
      <c r="L9" s="658"/>
      <c r="M9" s="656"/>
      <c r="N9" s="659">
        <f t="shared" ref="N9:N15" si="4">O9+P9</f>
        <v>80</v>
      </c>
      <c r="O9" s="656">
        <v>80</v>
      </c>
      <c r="P9" s="657"/>
      <c r="Q9" s="658"/>
      <c r="R9" s="656">
        <v>77</v>
      </c>
      <c r="S9" s="656">
        <v>3</v>
      </c>
      <c r="T9" s="656"/>
      <c r="U9" s="657"/>
      <c r="V9" s="262" t="str">
        <f>IF(X9&gt;0,"гр.5 &gt;= гр.4 по строке "&amp;W9,"ОК")</f>
        <v>ОК</v>
      </c>
      <c r="W9" s="46" t="str">
        <f t="shared" si="1"/>
        <v>—</v>
      </c>
      <c r="X9" s="47">
        <f t="shared" si="2"/>
        <v>0</v>
      </c>
      <c r="Y9" s="317" t="s">
        <v>686</v>
      </c>
      <c r="Z9" s="47" t="b">
        <f>IF(OR($Q8&lt;&gt;0,$H8&lt;&gt;0),$Q8&lt;$H8,TRUE)</f>
        <v>1</v>
      </c>
      <c r="AA9" s="318" t="b">
        <f>IF(OR($Q9&lt;&gt;0,$H9&lt;&gt;0),$Q9&lt;$H9,TRUE)</f>
        <v>1</v>
      </c>
      <c r="AB9" s="318" t="b">
        <f>IF(OR($Q10&lt;&gt;0,$H10&lt;&gt;0),$Q10&lt;$H10,TRUE)</f>
        <v>1</v>
      </c>
      <c r="AC9" s="318" t="b">
        <f>IF(OR($Q11&lt;&gt;0,$H11&lt;&gt;0),$Q11&lt;$H11,TRUE)</f>
        <v>1</v>
      </c>
      <c r="AD9" s="318" t="b">
        <f>IF(OR($Q12&lt;&gt;0,$H12&lt;&gt;0),$Q12&lt;$H12,TRUE)</f>
        <v>1</v>
      </c>
      <c r="AE9" s="318" t="b">
        <f>IF(OR($Q13&lt;&gt;0,$H13&lt;&gt;0),$Q13&lt;$H13,TRUE)</f>
        <v>1</v>
      </c>
      <c r="AF9" s="318" t="b">
        <f>IF(OR($Q14&lt;&gt;0,$H14&lt;&gt;0),$Q14&lt;$H14,TRUE)</f>
        <v>1</v>
      </c>
      <c r="AG9" s="318" t="b">
        <f>IF(OR($Q15&lt;&gt;0,$H15&lt;&gt;0),$Q15&lt;$H15,TRUE)</f>
        <v>1</v>
      </c>
      <c r="AH9" s="318" t="b">
        <f>IF(OR($Q16&lt;&gt;0,$H16&lt;&gt;0),$Q16&lt;$H16,TRUE)</f>
        <v>1</v>
      </c>
      <c r="AI9" s="318" t="b">
        <f>IF(OR($Q17&lt;&gt;0,$H17&lt;&gt;0),$Q17&lt;$H17,TRUE)</f>
        <v>1</v>
      </c>
      <c r="AJ9" s="318" t="b">
        <f>IF(OR($Q18&lt;&gt;0,$H18&lt;&gt;0),$Q18&lt;$H18,TRUE)</f>
        <v>1</v>
      </c>
      <c r="AK9" s="318" t="b">
        <f>IF(OR($Q19&lt;&gt;0,$H19&lt;&gt;0),$Q19&lt;$H19,TRUE)</f>
        <v>1</v>
      </c>
    </row>
    <row r="10" spans="1:44" ht="33" x14ac:dyDescent="0.25">
      <c r="A10" s="1004"/>
      <c r="B10" s="322">
        <v>3</v>
      </c>
      <c r="C10" s="323" t="s">
        <v>687</v>
      </c>
      <c r="D10" s="660">
        <f t="shared" ref="D10:D15" si="5">F10+G10</f>
        <v>700</v>
      </c>
      <c r="E10" s="661">
        <v>700</v>
      </c>
      <c r="F10" s="662">
        <v>350</v>
      </c>
      <c r="G10" s="663">
        <v>350</v>
      </c>
      <c r="H10" s="660">
        <f t="shared" si="3"/>
        <v>700</v>
      </c>
      <c r="I10" s="661">
        <v>700</v>
      </c>
      <c r="J10" s="662">
        <v>351</v>
      </c>
      <c r="K10" s="663">
        <v>349</v>
      </c>
      <c r="L10" s="664">
        <v>231</v>
      </c>
      <c r="M10" s="662">
        <v>28</v>
      </c>
      <c r="N10" s="665">
        <f t="shared" si="4"/>
        <v>441</v>
      </c>
      <c r="O10" s="662">
        <v>438</v>
      </c>
      <c r="P10" s="663">
        <v>3</v>
      </c>
      <c r="Q10" s="664"/>
      <c r="R10" s="662">
        <v>698</v>
      </c>
      <c r="S10" s="662">
        <v>2</v>
      </c>
      <c r="T10" s="662"/>
      <c r="U10" s="663"/>
      <c r="V10" s="262" t="str">
        <f>IF(X10&gt;0,"гр.8 &gt;= гр.4 по строке "&amp;W10,"ОК")</f>
        <v>ОК</v>
      </c>
      <c r="W10" s="46" t="str">
        <f t="shared" si="1"/>
        <v>—</v>
      </c>
      <c r="X10" s="47">
        <f t="shared" si="2"/>
        <v>0</v>
      </c>
      <c r="Y10" s="317" t="s">
        <v>688</v>
      </c>
      <c r="Z10" s="47" t="b">
        <f>IF(OR($T8&lt;&gt;0,$H8&lt;&gt;0),$T8&lt;$H8,TRUE)</f>
        <v>1</v>
      </c>
      <c r="AA10" s="318" t="b">
        <f>IF(OR($T9&lt;&gt;0,$H9&lt;&gt;0),$T9&lt;$H9,TRUE)</f>
        <v>1</v>
      </c>
      <c r="AB10" s="318" t="b">
        <f>IF(OR($T10&lt;&gt;0,$H10&lt;&gt;0),$T10&lt;$H10,TRUE)</f>
        <v>1</v>
      </c>
      <c r="AC10" s="318" t="b">
        <f>IF(OR($T11&lt;&gt;0,$H11&lt;&gt;0),$T11&lt;$H11,TRUE)</f>
        <v>1</v>
      </c>
      <c r="AD10" s="318" t="b">
        <f>IF(OR($T12&lt;&gt;0,$H12&lt;&gt;0),$T12&lt;$H12,TRUE)</f>
        <v>1</v>
      </c>
      <c r="AE10" s="318" t="b">
        <f>IF(OR($T13&lt;&gt;0,$H13&lt;&gt;0),$T13&lt;$H13,TRUE)</f>
        <v>1</v>
      </c>
      <c r="AF10" s="318" t="b">
        <f>IF(OR($T14&lt;&gt;0,$H14&lt;&gt;0),$T14&lt;$H14,TRUE)</f>
        <v>1</v>
      </c>
      <c r="AG10" s="318" t="b">
        <f>IF(OR($T15&lt;&gt;0,$H15&lt;&gt;0),$T15&lt;$H15,TRUE)</f>
        <v>1</v>
      </c>
      <c r="AH10" s="318" t="b">
        <f>IF(OR($T16&lt;&gt;0,$H16&lt;&gt;0),$T16&lt;$H16,TRUE)</f>
        <v>1</v>
      </c>
      <c r="AI10" s="318" t="b">
        <f>IF(OR($T17&lt;&gt;0,$H17&lt;&gt;0),$T17&lt;$H17,TRUE)</f>
        <v>1</v>
      </c>
      <c r="AJ10" s="318" t="b">
        <f>IF(OR($T18&lt;&gt;0,$H18&lt;&gt;0),$T18&lt;$H18,TRUE)</f>
        <v>1</v>
      </c>
      <c r="AK10" s="318" t="b">
        <f>IF(OR($T19&lt;&gt;0,$H19&lt;&gt;0),$T19&lt;$H19,TRUE)</f>
        <v>1</v>
      </c>
    </row>
    <row r="11" spans="1:44" ht="33.75" customHeight="1" thickBot="1" x14ac:dyDescent="0.3">
      <c r="A11" s="1005"/>
      <c r="B11" s="324">
        <v>4</v>
      </c>
      <c r="C11" s="325" t="s">
        <v>689</v>
      </c>
      <c r="D11" s="666">
        <f t="shared" si="5"/>
        <v>100</v>
      </c>
      <c r="E11" s="667">
        <v>100</v>
      </c>
      <c r="F11" s="668">
        <v>50</v>
      </c>
      <c r="G11" s="669">
        <v>50</v>
      </c>
      <c r="H11" s="666">
        <f t="shared" si="3"/>
        <v>100</v>
      </c>
      <c r="I11" s="667">
        <v>100</v>
      </c>
      <c r="J11" s="668">
        <v>50</v>
      </c>
      <c r="K11" s="669">
        <v>50</v>
      </c>
      <c r="L11" s="670">
        <v>32</v>
      </c>
      <c r="M11" s="668">
        <v>10</v>
      </c>
      <c r="N11" s="671">
        <f t="shared" si="4"/>
        <v>58</v>
      </c>
      <c r="O11" s="668">
        <v>58</v>
      </c>
      <c r="P11" s="669"/>
      <c r="Q11" s="670"/>
      <c r="R11" s="668">
        <v>99</v>
      </c>
      <c r="S11" s="668">
        <v>1</v>
      </c>
      <c r="T11" s="668"/>
      <c r="U11" s="669"/>
      <c r="V11" s="262" t="str">
        <f>IF(X11&gt;0,"гр.8 &gt; гр.5 по строке "&amp;W11,"ОК")</f>
        <v>ОК</v>
      </c>
      <c r="W11" s="46" t="str">
        <f t="shared" si="1"/>
        <v>—</v>
      </c>
      <c r="X11" s="47">
        <f t="shared" si="2"/>
        <v>0</v>
      </c>
      <c r="Y11" s="317" t="s">
        <v>690</v>
      </c>
      <c r="Z11" s="47" t="b">
        <f>$T8&lt;=$Q8</f>
        <v>1</v>
      </c>
      <c r="AA11" s="47" t="b">
        <f>$T9&lt;=$Q9</f>
        <v>1</v>
      </c>
      <c r="AB11" s="47" t="b">
        <f>$T10&lt;=$Q10</f>
        <v>1</v>
      </c>
      <c r="AC11" s="47" t="b">
        <f>$T11&lt;=$Q11</f>
        <v>1</v>
      </c>
      <c r="AD11" s="47" t="b">
        <f>$T12&lt;=$Q12</f>
        <v>1</v>
      </c>
      <c r="AE11" s="47" t="b">
        <f>$T13&lt;=$Q13</f>
        <v>1</v>
      </c>
      <c r="AF11" s="47" t="b">
        <f>$T14&lt;=$Q14</f>
        <v>1</v>
      </c>
      <c r="AG11" s="47" t="b">
        <f>$T15&lt;=$Q15</f>
        <v>1</v>
      </c>
      <c r="AH11" s="47" t="b">
        <f>$T16&lt;=$Q16</f>
        <v>1</v>
      </c>
      <c r="AI11" s="47" t="b">
        <f>$T17&lt;=$Q17</f>
        <v>1</v>
      </c>
      <c r="AJ11" s="47" t="b">
        <f>$T18&lt;=$Q18</f>
        <v>1</v>
      </c>
      <c r="AK11" s="47" t="b">
        <f>$T19&lt;=$Q19</f>
        <v>1</v>
      </c>
    </row>
    <row r="12" spans="1:44" s="319" customFormat="1" ht="37.5" customHeight="1" thickBot="1" x14ac:dyDescent="0.3">
      <c r="A12" s="1006" t="s">
        <v>691</v>
      </c>
      <c r="B12" s="326">
        <v>5</v>
      </c>
      <c r="C12" s="327" t="s">
        <v>172</v>
      </c>
      <c r="D12" s="672">
        <f>SUM(D14:D15)</f>
        <v>200</v>
      </c>
      <c r="E12" s="673">
        <f t="shared" ref="E12:U12" si="6">SUM(E14:E15)</f>
        <v>200</v>
      </c>
      <c r="F12" s="673">
        <f t="shared" si="6"/>
        <v>100</v>
      </c>
      <c r="G12" s="674">
        <f t="shared" si="6"/>
        <v>100</v>
      </c>
      <c r="H12" s="672">
        <f t="shared" si="6"/>
        <v>200</v>
      </c>
      <c r="I12" s="673">
        <f t="shared" si="6"/>
        <v>200</v>
      </c>
      <c r="J12" s="673">
        <f t="shared" si="6"/>
        <v>100</v>
      </c>
      <c r="K12" s="674">
        <f t="shared" si="6"/>
        <v>100</v>
      </c>
      <c r="L12" s="672">
        <f t="shared" si="6"/>
        <v>61</v>
      </c>
      <c r="M12" s="673">
        <f t="shared" si="6"/>
        <v>4</v>
      </c>
      <c r="N12" s="673">
        <f t="shared" si="6"/>
        <v>135</v>
      </c>
      <c r="O12" s="673">
        <f t="shared" si="6"/>
        <v>134</v>
      </c>
      <c r="P12" s="674">
        <f t="shared" si="6"/>
        <v>1</v>
      </c>
      <c r="Q12" s="672">
        <f t="shared" si="6"/>
        <v>0</v>
      </c>
      <c r="R12" s="673">
        <f t="shared" si="6"/>
        <v>198</v>
      </c>
      <c r="S12" s="673">
        <f t="shared" si="6"/>
        <v>2</v>
      </c>
      <c r="T12" s="673">
        <f t="shared" si="6"/>
        <v>0</v>
      </c>
      <c r="U12" s="674">
        <f t="shared" si="6"/>
        <v>0</v>
      </c>
      <c r="V12" s="262" t="str">
        <f>IF(X12&gt;0,"гр.9 &gt;= гр.4 по строке "&amp;W12,"ОК")</f>
        <v>ОК</v>
      </c>
      <c r="W12" s="46" t="str">
        <f t="shared" si="1"/>
        <v>—</v>
      </c>
      <c r="X12" s="47">
        <f t="shared" si="2"/>
        <v>0</v>
      </c>
      <c r="Y12" s="317" t="s">
        <v>692</v>
      </c>
      <c r="Z12" s="47" t="b">
        <f>IF(OR($U8&lt;&gt;0,$H8&lt;&gt;0),$U8&lt;$H8,TRUE)</f>
        <v>1</v>
      </c>
      <c r="AA12" s="47" t="b">
        <f>IF(OR($U9&lt;&gt;0,$H9&lt;&gt;0),$U9&lt;$H9,TRUE)</f>
        <v>1</v>
      </c>
      <c r="AB12" s="47" t="b">
        <f>IF(OR($U10&lt;&gt;0,$H10&lt;&gt;0),$U10&lt;$H10,TRUE)</f>
        <v>1</v>
      </c>
      <c r="AC12" s="47" t="b">
        <f>IF(OR($U11&lt;&gt;0,$H11&lt;&gt;0),$U11&lt;$H11,TRUE)</f>
        <v>1</v>
      </c>
      <c r="AD12" s="47" t="b">
        <f>IF(OR($U12&lt;&gt;0,$H12&lt;&gt;0),$U12&lt;$H12,TRUE)</f>
        <v>1</v>
      </c>
      <c r="AE12" s="47" t="b">
        <f>IF(OR($U13&lt;&gt;0,$H13&lt;&gt;0),$U13&lt;$H13,TRUE)</f>
        <v>1</v>
      </c>
      <c r="AF12" s="47" t="b">
        <f>IF(OR($U14&lt;&gt;0,$H14&lt;&gt;0),$U14&lt;$H14,TRUE)</f>
        <v>1</v>
      </c>
      <c r="AG12" s="47" t="b">
        <f>IF(OR($U15&lt;&gt;0,$H15&lt;&gt;0),$U15&lt;$H15,TRUE)</f>
        <v>1</v>
      </c>
      <c r="AH12" s="47" t="b">
        <f>IF(OR($U16&lt;&gt;0,$H16&lt;&gt;0),$U16&lt;$H16,TRUE)</f>
        <v>1</v>
      </c>
      <c r="AI12" s="47" t="b">
        <f>IF(OR($U17&lt;&gt;0,$H17&lt;&gt;0),$U17&lt;$H17,TRUE)</f>
        <v>1</v>
      </c>
      <c r="AJ12" s="47" t="b">
        <f>IF(OR($U18&lt;&gt;0,$H18&lt;&gt;0),$U18&lt;$H18,TRUE)</f>
        <v>1</v>
      </c>
      <c r="AK12" s="47" t="b">
        <f>IF(OR($U19&lt;&gt;0,$H19&lt;&gt;0),$U19&lt;$H19,TRUE)</f>
        <v>1</v>
      </c>
    </row>
    <row r="13" spans="1:44" s="319" customFormat="1" ht="34.5" customHeight="1" x14ac:dyDescent="0.25">
      <c r="A13" s="1007"/>
      <c r="B13" s="320">
        <v>6</v>
      </c>
      <c r="C13" s="321" t="s">
        <v>685</v>
      </c>
      <c r="D13" s="675">
        <f t="shared" si="5"/>
        <v>20</v>
      </c>
      <c r="E13" s="655">
        <v>20</v>
      </c>
      <c r="F13" s="676">
        <v>10</v>
      </c>
      <c r="G13" s="677">
        <v>10</v>
      </c>
      <c r="H13" s="675">
        <f t="shared" si="3"/>
        <v>20</v>
      </c>
      <c r="I13" s="655">
        <v>20</v>
      </c>
      <c r="J13" s="676">
        <v>10</v>
      </c>
      <c r="K13" s="677">
        <v>10</v>
      </c>
      <c r="L13" s="678"/>
      <c r="M13" s="676"/>
      <c r="N13" s="679">
        <f>O13+P13</f>
        <v>20</v>
      </c>
      <c r="O13" s="676">
        <v>20</v>
      </c>
      <c r="P13" s="677"/>
      <c r="Q13" s="678"/>
      <c r="R13" s="676">
        <v>19</v>
      </c>
      <c r="S13" s="676">
        <v>1</v>
      </c>
      <c r="T13" s="676"/>
      <c r="U13" s="677"/>
      <c r="V13" s="262" t="str">
        <f>IF(X13&gt;0,"гр.3.1 &gt; гр.3 по строке "&amp;W13,"ОК")</f>
        <v>ОК</v>
      </c>
      <c r="W13" s="46" t="str">
        <f t="shared" si="1"/>
        <v>—</v>
      </c>
      <c r="X13" s="47">
        <f t="shared" si="2"/>
        <v>0</v>
      </c>
      <c r="Y13" s="317" t="s">
        <v>693</v>
      </c>
      <c r="Z13" s="47" t="b">
        <f>$E8&lt;=$D8</f>
        <v>1</v>
      </c>
      <c r="AA13" s="47" t="b">
        <f>$E9&lt;=$D9</f>
        <v>1</v>
      </c>
      <c r="AB13" s="47" t="b">
        <f>$E10&lt;=$D10</f>
        <v>1</v>
      </c>
      <c r="AC13" s="47" t="b">
        <f>$E11&lt;=$D11</f>
        <v>1</v>
      </c>
      <c r="AD13" s="47" t="b">
        <f>$E12&lt;=$D12</f>
        <v>1</v>
      </c>
      <c r="AE13" s="47" t="b">
        <f>$E13&lt;=$D13</f>
        <v>1</v>
      </c>
      <c r="AF13" s="47" t="b">
        <f>$E14&lt;=$D14</f>
        <v>1</v>
      </c>
      <c r="AG13" s="47" t="b">
        <f>$E15&lt;=$D15</f>
        <v>1</v>
      </c>
      <c r="AH13" s="47" t="b">
        <f>$E16&lt;=$D16</f>
        <v>1</v>
      </c>
      <c r="AI13" s="47" t="b">
        <f>$E17&lt;=$D17</f>
        <v>1</v>
      </c>
      <c r="AJ13" s="47" t="b">
        <f>$E18&lt;=$D18</f>
        <v>1</v>
      </c>
      <c r="AK13" s="47" t="b">
        <f>$E19&lt;=$D19</f>
        <v>1</v>
      </c>
    </row>
    <row r="14" spans="1:44" ht="33" x14ac:dyDescent="0.25">
      <c r="A14" s="1007"/>
      <c r="B14" s="328">
        <v>7</v>
      </c>
      <c r="C14" s="329" t="s">
        <v>687</v>
      </c>
      <c r="D14" s="680">
        <f t="shared" si="5"/>
        <v>180</v>
      </c>
      <c r="E14" s="661">
        <v>180</v>
      </c>
      <c r="F14" s="681">
        <v>90</v>
      </c>
      <c r="G14" s="682">
        <v>90</v>
      </c>
      <c r="H14" s="680">
        <f t="shared" si="3"/>
        <v>180</v>
      </c>
      <c r="I14" s="661">
        <v>180</v>
      </c>
      <c r="J14" s="681">
        <v>90</v>
      </c>
      <c r="K14" s="682">
        <v>90</v>
      </c>
      <c r="L14" s="683">
        <v>54</v>
      </c>
      <c r="M14" s="681">
        <v>3</v>
      </c>
      <c r="N14" s="684">
        <f t="shared" si="4"/>
        <v>123</v>
      </c>
      <c r="O14" s="681">
        <v>122</v>
      </c>
      <c r="P14" s="682">
        <v>1</v>
      </c>
      <c r="Q14" s="683"/>
      <c r="R14" s="681">
        <v>179</v>
      </c>
      <c r="S14" s="681">
        <v>1</v>
      </c>
      <c r="T14" s="681"/>
      <c r="U14" s="682"/>
      <c r="V14" s="262" t="str">
        <f>IF(X14&gt;0,"гр.4 ≠ гр.4.2+гр.4.3 по строке "&amp;W14,"ОК")</f>
        <v>ОК</v>
      </c>
      <c r="W14" s="46" t="str">
        <f t="shared" si="1"/>
        <v>—</v>
      </c>
      <c r="X14" s="47">
        <f t="shared" si="2"/>
        <v>0</v>
      </c>
      <c r="Y14" s="317" t="s">
        <v>694</v>
      </c>
      <c r="Z14" s="47" t="b">
        <f>$H8=SUM($J8:$K8)</f>
        <v>1</v>
      </c>
      <c r="AA14" s="47" t="b">
        <f>$H9=SUM($J9:$K9)</f>
        <v>1</v>
      </c>
      <c r="AB14" s="47" t="b">
        <f>$H10=SUM($J10:$K10)</f>
        <v>1</v>
      </c>
      <c r="AC14" s="47" t="b">
        <f>$H11=SUM($J11:$K11)</f>
        <v>1</v>
      </c>
      <c r="AD14" s="47" t="b">
        <f>$H12=SUM($J12:$K12)</f>
        <v>1</v>
      </c>
      <c r="AE14" s="47" t="b">
        <f>$H13=SUM($J13:$K13)</f>
        <v>1</v>
      </c>
      <c r="AF14" s="47" t="b">
        <f>$H14=SUM($J14:$K14)</f>
        <v>1</v>
      </c>
      <c r="AG14" s="47" t="b">
        <f>$H15=SUM($J15:$K15)</f>
        <v>1</v>
      </c>
      <c r="AH14" s="47" t="b">
        <f>$H16=SUM($J16:$K16)</f>
        <v>1</v>
      </c>
      <c r="AI14" s="47" t="b">
        <f>$H17=SUM($J17:$K17)</f>
        <v>1</v>
      </c>
      <c r="AJ14" s="47" t="b">
        <f>$H18=SUM($J18:$K18)</f>
        <v>1</v>
      </c>
      <c r="AK14" s="47" t="b">
        <f>$H19=SUM($J19:$K19)</f>
        <v>1</v>
      </c>
      <c r="AL14" s="319"/>
      <c r="AM14" s="319"/>
      <c r="AN14" s="319"/>
      <c r="AO14" s="319"/>
      <c r="AP14" s="319"/>
      <c r="AQ14" s="319"/>
      <c r="AR14" s="319"/>
    </row>
    <row r="15" spans="1:44" ht="37.5" customHeight="1" thickBot="1" x14ac:dyDescent="0.3">
      <c r="A15" s="1008"/>
      <c r="B15" s="330">
        <v>8</v>
      </c>
      <c r="C15" s="331" t="s">
        <v>689</v>
      </c>
      <c r="D15" s="685">
        <f t="shared" si="5"/>
        <v>20</v>
      </c>
      <c r="E15" s="667">
        <v>20</v>
      </c>
      <c r="F15" s="686">
        <v>10</v>
      </c>
      <c r="G15" s="687">
        <v>10</v>
      </c>
      <c r="H15" s="685">
        <f t="shared" si="3"/>
        <v>20</v>
      </c>
      <c r="I15" s="667">
        <v>20</v>
      </c>
      <c r="J15" s="686">
        <v>10</v>
      </c>
      <c r="K15" s="687">
        <v>10</v>
      </c>
      <c r="L15" s="688">
        <v>7</v>
      </c>
      <c r="M15" s="686">
        <v>1</v>
      </c>
      <c r="N15" s="689">
        <f t="shared" si="4"/>
        <v>12</v>
      </c>
      <c r="O15" s="686">
        <v>12</v>
      </c>
      <c r="P15" s="687"/>
      <c r="Q15" s="688"/>
      <c r="R15" s="686">
        <v>19</v>
      </c>
      <c r="S15" s="686">
        <v>1</v>
      </c>
      <c r="T15" s="686"/>
      <c r="U15" s="687"/>
      <c r="V15" s="262" t="str">
        <f>IF(X15&gt;0,"гр.4 ≠ гр.4.4+гр.4.5+гр.4.6 по строке "&amp;W15,"ОК")</f>
        <v>ОК</v>
      </c>
      <c r="W15" s="46" t="str">
        <f t="shared" si="1"/>
        <v>—</v>
      </c>
      <c r="X15" s="47">
        <f t="shared" si="2"/>
        <v>0</v>
      </c>
      <c r="Y15" s="317" t="s">
        <v>695</v>
      </c>
      <c r="Z15" s="47" t="b">
        <f>$H8=SUM($L8:$N8)</f>
        <v>1</v>
      </c>
      <c r="AA15" s="47" t="b">
        <f>$H9=SUM($L9:$N9)</f>
        <v>1</v>
      </c>
      <c r="AB15" s="47" t="b">
        <f>$H10=SUM($L10:$N10)</f>
        <v>1</v>
      </c>
      <c r="AC15" s="47" t="b">
        <f>$H11=SUM($L11:$N11)</f>
        <v>1</v>
      </c>
      <c r="AD15" s="47" t="b">
        <f>$H12=SUM($L12:$N12)</f>
        <v>1</v>
      </c>
      <c r="AE15" s="47" t="b">
        <f>$H13=SUM($L13:$N13)</f>
        <v>1</v>
      </c>
      <c r="AF15" s="47" t="b">
        <f>$H14=SUM($L14:$N14)</f>
        <v>1</v>
      </c>
      <c r="AG15" s="47" t="b">
        <f>$H15=SUM($L15:$N15)</f>
        <v>1</v>
      </c>
      <c r="AH15" s="47" t="b">
        <f>$H16=SUM($L16:$N16)</f>
        <v>1</v>
      </c>
      <c r="AI15" s="47" t="b">
        <f>$H17=SUM($L17:$N17)</f>
        <v>1</v>
      </c>
      <c r="AJ15" s="47" t="b">
        <f>$H18=SUM($L18:$N18)</f>
        <v>1</v>
      </c>
      <c r="AK15" s="47" t="b">
        <f>$H19=SUM($L19:$N19)</f>
        <v>1</v>
      </c>
    </row>
    <row r="16" spans="1:44" s="319" customFormat="1" ht="37.5" customHeight="1" thickBot="1" x14ac:dyDescent="0.3">
      <c r="A16" s="1009" t="s">
        <v>696</v>
      </c>
      <c r="B16" s="332">
        <v>9</v>
      </c>
      <c r="C16" s="333" t="s">
        <v>172</v>
      </c>
      <c r="D16" s="690">
        <f>SUM(D18:D19)</f>
        <v>1000</v>
      </c>
      <c r="E16" s="691">
        <f t="shared" ref="E16:U16" si="7">SUM(E18:E19)</f>
        <v>1000</v>
      </c>
      <c r="F16" s="691">
        <f t="shared" si="7"/>
        <v>500</v>
      </c>
      <c r="G16" s="692">
        <f t="shared" si="7"/>
        <v>500</v>
      </c>
      <c r="H16" s="690">
        <f t="shared" si="7"/>
        <v>1000</v>
      </c>
      <c r="I16" s="691">
        <f t="shared" si="7"/>
        <v>1000</v>
      </c>
      <c r="J16" s="691">
        <f t="shared" si="7"/>
        <v>501</v>
      </c>
      <c r="K16" s="692">
        <f t="shared" si="7"/>
        <v>499</v>
      </c>
      <c r="L16" s="690">
        <f t="shared" si="7"/>
        <v>324</v>
      </c>
      <c r="M16" s="691">
        <f t="shared" si="7"/>
        <v>42</v>
      </c>
      <c r="N16" s="691">
        <f t="shared" si="7"/>
        <v>634</v>
      </c>
      <c r="O16" s="691">
        <f t="shared" si="7"/>
        <v>630</v>
      </c>
      <c r="P16" s="692">
        <f t="shared" si="7"/>
        <v>4</v>
      </c>
      <c r="Q16" s="690">
        <f t="shared" si="7"/>
        <v>0</v>
      </c>
      <c r="R16" s="691">
        <f t="shared" si="7"/>
        <v>995</v>
      </c>
      <c r="S16" s="691">
        <f t="shared" si="7"/>
        <v>5</v>
      </c>
      <c r="T16" s="691">
        <f t="shared" si="7"/>
        <v>0</v>
      </c>
      <c r="U16" s="692">
        <f t="shared" si="7"/>
        <v>0</v>
      </c>
      <c r="V16" s="262" t="str">
        <f>IF(X16&gt;0,"стр.1 &lt; стр.3+стр.4 по графе "&amp;W16,"ОК")</f>
        <v>ОК</v>
      </c>
      <c r="W16" s="266" t="str">
        <f>IF(X16&gt;0,INDEX($D$7:$U$7,1,X16),CHAR(151))</f>
        <v>—</v>
      </c>
      <c r="X16" s="47">
        <f>IF(ISERROR(MATCH(FALSE,Z16:AQ16,0)),0,MATCH(FALSE,Z16:AQ16,0))</f>
        <v>0</v>
      </c>
      <c r="Y16" s="317" t="s">
        <v>697</v>
      </c>
      <c r="Z16" s="334" t="b">
        <v>1</v>
      </c>
      <c r="AA16" s="47" t="b">
        <f t="shared" ref="AA16:AQ16" si="8">E8&gt;=SUM(E10:E11)</f>
        <v>1</v>
      </c>
      <c r="AB16" s="47" t="b">
        <f t="shared" si="8"/>
        <v>1</v>
      </c>
      <c r="AC16" s="47" t="b">
        <f t="shared" si="8"/>
        <v>1</v>
      </c>
      <c r="AD16" s="334" t="b">
        <v>1</v>
      </c>
      <c r="AE16" s="47" t="b">
        <f t="shared" si="8"/>
        <v>1</v>
      </c>
      <c r="AF16" s="47" t="b">
        <f t="shared" si="8"/>
        <v>1</v>
      </c>
      <c r="AG16" s="47" t="b">
        <f t="shared" si="8"/>
        <v>1</v>
      </c>
      <c r="AH16" s="47" t="b">
        <f t="shared" si="8"/>
        <v>1</v>
      </c>
      <c r="AI16" s="47" t="b">
        <f t="shared" si="8"/>
        <v>1</v>
      </c>
      <c r="AJ16" s="334" t="b">
        <v>1</v>
      </c>
      <c r="AK16" s="47" t="b">
        <f t="shared" si="8"/>
        <v>1</v>
      </c>
      <c r="AL16" s="47" t="b">
        <f t="shared" si="8"/>
        <v>1</v>
      </c>
      <c r="AM16" s="47" t="b">
        <f t="shared" si="8"/>
        <v>1</v>
      </c>
      <c r="AN16" s="47" t="b">
        <f t="shared" si="8"/>
        <v>1</v>
      </c>
      <c r="AO16" s="47" t="b">
        <f t="shared" si="8"/>
        <v>1</v>
      </c>
      <c r="AP16" s="47" t="b">
        <f t="shared" si="8"/>
        <v>1</v>
      </c>
      <c r="AQ16" s="47" t="b">
        <f t="shared" si="8"/>
        <v>1</v>
      </c>
      <c r="AR16" s="297"/>
    </row>
    <row r="17" spans="1:48" s="319" customFormat="1" ht="37.5" customHeight="1" x14ac:dyDescent="0.25">
      <c r="A17" s="1009"/>
      <c r="B17" s="335">
        <v>10</v>
      </c>
      <c r="C17" s="321" t="s">
        <v>685</v>
      </c>
      <c r="D17" s="693">
        <f t="shared" ref="D17:U19" si="9">D9+D13</f>
        <v>100</v>
      </c>
      <c r="E17" s="694">
        <f t="shared" si="9"/>
        <v>100</v>
      </c>
      <c r="F17" s="695">
        <f t="shared" si="9"/>
        <v>50</v>
      </c>
      <c r="G17" s="696">
        <f>G9+G13</f>
        <v>50</v>
      </c>
      <c r="H17" s="693">
        <f t="shared" si="9"/>
        <v>100</v>
      </c>
      <c r="I17" s="742">
        <f t="shared" ref="I17:M17" si="10">I9+I13</f>
        <v>100</v>
      </c>
      <c r="J17" s="697">
        <f t="shared" si="10"/>
        <v>50</v>
      </c>
      <c r="K17" s="743">
        <f t="shared" si="10"/>
        <v>50</v>
      </c>
      <c r="L17" s="744">
        <f t="shared" si="10"/>
        <v>0</v>
      </c>
      <c r="M17" s="697">
        <f t="shared" si="10"/>
        <v>0</v>
      </c>
      <c r="N17" s="697">
        <f t="shared" si="9"/>
        <v>100</v>
      </c>
      <c r="O17" s="695">
        <f t="shared" ref="O17:P17" si="11">O9+O13</f>
        <v>100</v>
      </c>
      <c r="P17" s="696">
        <f t="shared" si="11"/>
        <v>0</v>
      </c>
      <c r="Q17" s="693">
        <f t="shared" si="9"/>
        <v>0</v>
      </c>
      <c r="R17" s="695">
        <f t="shared" si="9"/>
        <v>96</v>
      </c>
      <c r="S17" s="695">
        <f t="shared" si="9"/>
        <v>4</v>
      </c>
      <c r="T17" s="695">
        <f t="shared" si="9"/>
        <v>0</v>
      </c>
      <c r="U17" s="696">
        <f t="shared" si="9"/>
        <v>0</v>
      </c>
      <c r="V17" s="262" t="str">
        <f>IF(X17&gt;0,"стр.5 &lt; стр.7+стр.8 по графе "&amp;W17,"ОК")</f>
        <v>ОК</v>
      </c>
      <c r="W17" s="266" t="str">
        <f>IF(X17&gt;0,INDEX($D$7:$U$7,1,X17),CHAR(151))</f>
        <v>—</v>
      </c>
      <c r="X17" s="47">
        <f>IF(ISERROR(MATCH(FALSE,Z17:AQ17,0)),0,MATCH(FALSE,Z17:AQ17,0))</f>
        <v>0</v>
      </c>
      <c r="Y17" s="317" t="s">
        <v>698</v>
      </c>
      <c r="Z17" s="334" t="b">
        <v>1</v>
      </c>
      <c r="AA17" s="47" t="b">
        <f>E12&gt;=SUM(E14:E15)</f>
        <v>1</v>
      </c>
      <c r="AB17" s="47" t="b">
        <f t="shared" ref="AB17:AQ17" si="12">F12&gt;=SUM(F14:F15)</f>
        <v>1</v>
      </c>
      <c r="AC17" s="47" t="b">
        <f t="shared" si="12"/>
        <v>1</v>
      </c>
      <c r="AD17" s="334" t="b">
        <v>1</v>
      </c>
      <c r="AE17" s="47" t="b">
        <f t="shared" si="12"/>
        <v>1</v>
      </c>
      <c r="AF17" s="47" t="b">
        <f t="shared" si="12"/>
        <v>1</v>
      </c>
      <c r="AG17" s="47" t="b">
        <f t="shared" si="12"/>
        <v>1</v>
      </c>
      <c r="AH17" s="47" t="b">
        <f t="shared" si="12"/>
        <v>1</v>
      </c>
      <c r="AI17" s="47" t="b">
        <f t="shared" si="12"/>
        <v>1</v>
      </c>
      <c r="AJ17" s="334" t="b">
        <v>1</v>
      </c>
      <c r="AK17" s="47" t="b">
        <f t="shared" si="12"/>
        <v>1</v>
      </c>
      <c r="AL17" s="47" t="b">
        <f t="shared" si="12"/>
        <v>1</v>
      </c>
      <c r="AM17" s="47" t="b">
        <f t="shared" si="12"/>
        <v>1</v>
      </c>
      <c r="AN17" s="47" t="b">
        <f t="shared" si="12"/>
        <v>1</v>
      </c>
      <c r="AO17" s="47" t="b">
        <f t="shared" si="12"/>
        <v>1</v>
      </c>
      <c r="AP17" s="47" t="b">
        <f t="shared" si="12"/>
        <v>1</v>
      </c>
      <c r="AQ17" s="47" t="b">
        <f t="shared" si="12"/>
        <v>1</v>
      </c>
      <c r="AR17" s="297"/>
    </row>
    <row r="18" spans="1:48" ht="51" customHeight="1" x14ac:dyDescent="0.25">
      <c r="A18" s="1009"/>
      <c r="B18" s="336">
        <v>11</v>
      </c>
      <c r="C18" s="337" t="s">
        <v>687</v>
      </c>
      <c r="D18" s="698">
        <f t="shared" si="9"/>
        <v>880</v>
      </c>
      <c r="E18" s="699">
        <f t="shared" si="9"/>
        <v>880</v>
      </c>
      <c r="F18" s="700">
        <f t="shared" si="9"/>
        <v>440</v>
      </c>
      <c r="G18" s="701">
        <f>G10+G14</f>
        <v>440</v>
      </c>
      <c r="H18" s="698">
        <f t="shared" si="9"/>
        <v>880</v>
      </c>
      <c r="I18" s="745">
        <f t="shared" ref="I18:M18" si="13">I10+I14</f>
        <v>880</v>
      </c>
      <c r="J18" s="702">
        <f t="shared" si="13"/>
        <v>441</v>
      </c>
      <c r="K18" s="746">
        <f t="shared" si="13"/>
        <v>439</v>
      </c>
      <c r="L18" s="698">
        <f t="shared" si="13"/>
        <v>285</v>
      </c>
      <c r="M18" s="702">
        <f t="shared" si="13"/>
        <v>31</v>
      </c>
      <c r="N18" s="702">
        <f t="shared" si="9"/>
        <v>564</v>
      </c>
      <c r="O18" s="700">
        <f t="shared" ref="O18:P18" si="14">O10+O14</f>
        <v>560</v>
      </c>
      <c r="P18" s="701">
        <f t="shared" si="14"/>
        <v>4</v>
      </c>
      <c r="Q18" s="703">
        <f t="shared" si="9"/>
        <v>0</v>
      </c>
      <c r="R18" s="700">
        <f t="shared" si="9"/>
        <v>877</v>
      </c>
      <c r="S18" s="700">
        <f t="shared" si="9"/>
        <v>3</v>
      </c>
      <c r="T18" s="700">
        <f t="shared" si="9"/>
        <v>0</v>
      </c>
      <c r="U18" s="701">
        <f t="shared" si="9"/>
        <v>0</v>
      </c>
      <c r="V18" s="338"/>
      <c r="W18" s="319"/>
      <c r="X18" s="319"/>
      <c r="Y18" s="319"/>
      <c r="Z18" s="33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</row>
    <row r="19" spans="1:48" ht="39.75" customHeight="1" thickBot="1" x14ac:dyDescent="0.3">
      <c r="A19" s="1010"/>
      <c r="B19" s="340">
        <v>12</v>
      </c>
      <c r="C19" s="341" t="s">
        <v>689</v>
      </c>
      <c r="D19" s="704">
        <f t="shared" si="9"/>
        <v>120</v>
      </c>
      <c r="E19" s="705">
        <f t="shared" si="9"/>
        <v>120</v>
      </c>
      <c r="F19" s="706">
        <f t="shared" si="9"/>
        <v>60</v>
      </c>
      <c r="G19" s="707">
        <f>G11+G15</f>
        <v>60</v>
      </c>
      <c r="H19" s="704">
        <f t="shared" si="9"/>
        <v>120</v>
      </c>
      <c r="I19" s="747">
        <f t="shared" ref="I19:M19" si="15">I11+I15</f>
        <v>120</v>
      </c>
      <c r="J19" s="708">
        <f t="shared" si="15"/>
        <v>60</v>
      </c>
      <c r="K19" s="748">
        <f t="shared" si="15"/>
        <v>60</v>
      </c>
      <c r="L19" s="704">
        <f t="shared" si="15"/>
        <v>39</v>
      </c>
      <c r="M19" s="708">
        <f t="shared" si="15"/>
        <v>11</v>
      </c>
      <c r="N19" s="708">
        <f t="shared" si="9"/>
        <v>70</v>
      </c>
      <c r="O19" s="706">
        <f t="shared" ref="O19:P19" si="16">O11+O15</f>
        <v>70</v>
      </c>
      <c r="P19" s="707">
        <f t="shared" si="16"/>
        <v>0</v>
      </c>
      <c r="Q19" s="709">
        <f t="shared" si="9"/>
        <v>0</v>
      </c>
      <c r="R19" s="706">
        <f t="shared" si="9"/>
        <v>118</v>
      </c>
      <c r="S19" s="706">
        <f t="shared" si="9"/>
        <v>2</v>
      </c>
      <c r="T19" s="706">
        <f t="shared" si="9"/>
        <v>0</v>
      </c>
      <c r="U19" s="707">
        <f t="shared" si="9"/>
        <v>0</v>
      </c>
      <c r="V19" s="338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</row>
    <row r="20" spans="1:48" x14ac:dyDescent="0.25">
      <c r="V20" s="338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</row>
    <row r="21" spans="1:48" s="319" customFormat="1" ht="30" customHeight="1" x14ac:dyDescent="0.3">
      <c r="A21" s="344"/>
      <c r="C21" s="344"/>
      <c r="D21" s="345"/>
      <c r="E21" s="345"/>
      <c r="F21" s="345"/>
      <c r="G21" s="346"/>
      <c r="H21" s="345"/>
      <c r="I21" s="346"/>
      <c r="J21" s="346"/>
      <c r="K21" s="347"/>
      <c r="L21" s="345"/>
      <c r="M21" s="345"/>
      <c r="N21" s="345"/>
      <c r="P21" s="348"/>
      <c r="V21" s="338"/>
      <c r="W21" s="338"/>
      <c r="X21" s="338"/>
      <c r="Y21" s="338"/>
      <c r="Z21" s="47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</row>
    <row r="22" spans="1:48" ht="15.75" customHeight="1" x14ac:dyDescent="0.25">
      <c r="G22"/>
      <c r="H22"/>
      <c r="I22"/>
      <c r="J22"/>
      <c r="K22"/>
      <c r="Z22" s="47"/>
      <c r="AS22" s="342"/>
      <c r="AT22" s="342"/>
      <c r="AU22" s="342"/>
      <c r="AV22" s="342"/>
    </row>
    <row r="23" spans="1:48" ht="141.75" hidden="1" x14ac:dyDescent="0.25">
      <c r="C23" s="198" t="s">
        <v>699</v>
      </c>
      <c r="D23" s="198" t="s">
        <v>700</v>
      </c>
      <c r="E23" s="198" t="s">
        <v>701</v>
      </c>
      <c r="F23" s="198" t="s">
        <v>702</v>
      </c>
      <c r="G23" s="198" t="s">
        <v>703</v>
      </c>
      <c r="H23" s="198" t="s">
        <v>704</v>
      </c>
      <c r="I23" s="198" t="s">
        <v>705</v>
      </c>
      <c r="J23" s="198" t="s">
        <v>674</v>
      </c>
      <c r="P23" s="349"/>
      <c r="Z23" s="47"/>
      <c r="AS23" s="343"/>
      <c r="AT23" s="350"/>
      <c r="AU23" s="350"/>
      <c r="AV23" s="350"/>
    </row>
    <row r="24" spans="1:48" s="338" customFormat="1" ht="12.75" hidden="1" customHeight="1" x14ac:dyDescent="0.25">
      <c r="A24" s="351"/>
      <c r="C24" s="352" t="s">
        <v>706</v>
      </c>
      <c r="D24" s="352" t="s">
        <v>340</v>
      </c>
      <c r="E24" s="352" t="s">
        <v>345</v>
      </c>
      <c r="F24" s="352" t="s">
        <v>353</v>
      </c>
      <c r="G24" s="352" t="s">
        <v>356</v>
      </c>
      <c r="H24" s="352" t="s">
        <v>359</v>
      </c>
      <c r="I24" s="352" t="s">
        <v>538</v>
      </c>
      <c r="J24" s="352" t="s">
        <v>707</v>
      </c>
      <c r="P24" s="353"/>
      <c r="V24" s="297"/>
      <c r="W24" s="297"/>
      <c r="X24" s="297"/>
      <c r="Y24" s="297"/>
      <c r="Z24" s="4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7"/>
      <c r="AN24" s="297"/>
      <c r="AO24" s="297"/>
      <c r="AP24" s="297"/>
      <c r="AQ24" s="297"/>
      <c r="AR24" s="297"/>
    </row>
    <row r="25" spans="1:48" ht="23.25" hidden="1" customHeight="1" x14ac:dyDescent="0.25">
      <c r="C25" s="354" t="s">
        <v>708</v>
      </c>
      <c r="D25" s="355">
        <f>D16</f>
        <v>1000</v>
      </c>
      <c r="E25" s="355">
        <f>H16</f>
        <v>1000</v>
      </c>
      <c r="F25" s="355">
        <f>Q16</f>
        <v>0</v>
      </c>
      <c r="G25" s="355">
        <f>R16</f>
        <v>995</v>
      </c>
      <c r="H25" s="355">
        <f>S16</f>
        <v>5</v>
      </c>
      <c r="I25" s="355">
        <f>T16</f>
        <v>0</v>
      </c>
      <c r="J25" s="355">
        <f>U16</f>
        <v>0</v>
      </c>
      <c r="Z25" s="47"/>
    </row>
    <row r="26" spans="1:48" ht="33.75" hidden="1" customHeight="1" x14ac:dyDescent="0.25">
      <c r="C26" s="356" t="s">
        <v>687</v>
      </c>
      <c r="D26" s="355">
        <f>D18</f>
        <v>880</v>
      </c>
      <c r="E26" s="355">
        <f>H18</f>
        <v>880</v>
      </c>
      <c r="F26" s="355">
        <f t="shared" ref="F26:J27" si="17">Q18</f>
        <v>0</v>
      </c>
      <c r="G26" s="355">
        <f t="shared" si="17"/>
        <v>877</v>
      </c>
      <c r="H26" s="355">
        <f t="shared" si="17"/>
        <v>3</v>
      </c>
      <c r="I26" s="355">
        <f t="shared" si="17"/>
        <v>0</v>
      </c>
      <c r="J26" s="355">
        <f t="shared" si="17"/>
        <v>0</v>
      </c>
      <c r="Z26" s="47"/>
    </row>
    <row r="27" spans="1:48" ht="27" hidden="1" customHeight="1" x14ac:dyDescent="0.25">
      <c r="C27" s="356" t="s">
        <v>689</v>
      </c>
      <c r="D27" s="355">
        <f>D19</f>
        <v>120</v>
      </c>
      <c r="E27" s="355">
        <f>H19</f>
        <v>120</v>
      </c>
      <c r="F27" s="355">
        <f t="shared" si="17"/>
        <v>0</v>
      </c>
      <c r="G27" s="355">
        <f t="shared" si="17"/>
        <v>118</v>
      </c>
      <c r="H27" s="355">
        <f t="shared" si="17"/>
        <v>2</v>
      </c>
      <c r="I27" s="355">
        <f t="shared" si="17"/>
        <v>0</v>
      </c>
      <c r="J27" s="355">
        <f t="shared" si="17"/>
        <v>0</v>
      </c>
      <c r="Z27" s="47"/>
    </row>
    <row r="28" spans="1:48" ht="38.25" customHeight="1" x14ac:dyDescent="0.25">
      <c r="A28" s="953" t="s">
        <v>828</v>
      </c>
      <c r="B28" s="953"/>
      <c r="C28" s="953"/>
      <c r="D28" s="953"/>
      <c r="E28" s="953"/>
      <c r="F28" s="953"/>
      <c r="G28" s="953"/>
      <c r="Z28" s="47"/>
    </row>
    <row r="29" spans="1:48" x14ac:dyDescent="0.25">
      <c r="Z29"/>
    </row>
    <row r="30" spans="1:48" x14ac:dyDescent="0.25">
      <c r="Z30"/>
    </row>
  </sheetData>
  <sheetProtection password="DB70" sheet="1" objects="1" scenarios="1" autoFilter="0"/>
  <mergeCells count="14">
    <mergeCell ref="B1:J1"/>
    <mergeCell ref="C2:F2"/>
    <mergeCell ref="A5:A6"/>
    <mergeCell ref="B5:B6"/>
    <mergeCell ref="C5:C6"/>
    <mergeCell ref="D5:G5"/>
    <mergeCell ref="H5:K5"/>
    <mergeCell ref="A28:G28"/>
    <mergeCell ref="L5:P5"/>
    <mergeCell ref="Q5:U5"/>
    <mergeCell ref="V5:V7"/>
    <mergeCell ref="A8:A11"/>
    <mergeCell ref="A12:A15"/>
    <mergeCell ref="A16:A19"/>
  </mergeCells>
  <conditionalFormatting sqref="V8">
    <cfRule type="expression" dxfId="21" priority="10" stopIfTrue="1">
      <formula>V8&lt;&gt;"ОК"</formula>
    </cfRule>
  </conditionalFormatting>
  <conditionalFormatting sqref="V9">
    <cfRule type="expression" dxfId="20" priority="9" stopIfTrue="1">
      <formula>V9&lt;&gt;"ОК"</formula>
    </cfRule>
  </conditionalFormatting>
  <conditionalFormatting sqref="V10">
    <cfRule type="expression" dxfId="19" priority="8" stopIfTrue="1">
      <formula>V10&lt;&gt;"ОК"</formula>
    </cfRule>
  </conditionalFormatting>
  <conditionalFormatting sqref="V11">
    <cfRule type="expression" dxfId="18" priority="7" stopIfTrue="1">
      <formula>V11&lt;&gt;"ОК"</formula>
    </cfRule>
  </conditionalFormatting>
  <conditionalFormatting sqref="V12">
    <cfRule type="expression" dxfId="17" priority="6" stopIfTrue="1">
      <formula>V12&lt;&gt;"ОК"</formula>
    </cfRule>
  </conditionalFormatting>
  <conditionalFormatting sqref="V13">
    <cfRule type="expression" dxfId="16" priority="5" stopIfTrue="1">
      <formula>V13&lt;&gt;"ОК"</formula>
    </cfRule>
  </conditionalFormatting>
  <conditionalFormatting sqref="V14">
    <cfRule type="expression" dxfId="15" priority="4" stopIfTrue="1">
      <formula>V14&lt;&gt;"ОК"</formula>
    </cfRule>
  </conditionalFormatting>
  <conditionalFormatting sqref="V15">
    <cfRule type="expression" dxfId="14" priority="3" stopIfTrue="1">
      <formula>V15&lt;&gt;"ОК"</formula>
    </cfRule>
  </conditionalFormatting>
  <conditionalFormatting sqref="V16">
    <cfRule type="expression" dxfId="13" priority="2" stopIfTrue="1">
      <formula>V16&lt;&gt;"ОК"</formula>
    </cfRule>
  </conditionalFormatting>
  <conditionalFormatting sqref="V17">
    <cfRule type="expression" dxfId="12" priority="1" stopIfTrue="1">
      <formula>V17&lt;&gt;"ОК"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I9:M11 E9:G11 G14:G15 E13:F15 O9:U11 N10:N11 I13:U15">
      <formula1>AND($A$1=TRUE,ISNUMBER(E9),E9&gt;=0,IF(ISERROR(SEARCH(",?",E9)),0,1)=0)</formula1>
    </dataValidation>
  </dataValidations>
  <pageMargins left="0.7" right="0.7" top="0.75" bottom="0.75" header="0.3" footer="0.3"/>
  <pageSetup paperSize="9" scale="3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FF0000"/>
  </sheetPr>
  <dimension ref="A1:AI20"/>
  <sheetViews>
    <sheetView zoomScale="90" zoomScaleNormal="90" workbookViewId="0">
      <selection activeCell="C5" sqref="C5"/>
    </sheetView>
  </sheetViews>
  <sheetFormatPr defaultRowHeight="15" x14ac:dyDescent="0.25"/>
  <cols>
    <col min="1" max="1" width="7.140625" style="370" customWidth="1"/>
    <col min="2" max="2" width="31.5703125" style="371" customWidth="1"/>
    <col min="3" max="3" width="11.85546875" customWidth="1"/>
    <col min="4" max="4" width="12" customWidth="1"/>
    <col min="5" max="5" width="12.140625" customWidth="1"/>
    <col min="6" max="6" width="11.85546875" customWidth="1"/>
    <col min="7" max="7" width="15.85546875" customWidth="1"/>
    <col min="8" max="8" width="13.5703125" customWidth="1"/>
    <col min="9" max="9" width="15.42578125" customWidth="1"/>
    <col min="10" max="10" width="9.42578125" customWidth="1"/>
    <col min="11" max="11" width="10.28515625" customWidth="1"/>
    <col min="12" max="12" width="15.5703125" customWidth="1"/>
    <col min="13" max="13" width="17.7109375" customWidth="1"/>
  </cols>
  <sheetData>
    <row r="1" spans="1:35" ht="24.75" customHeight="1" x14ac:dyDescent="0.25">
      <c r="A1" s="357"/>
      <c r="B1" s="358"/>
      <c r="C1" s="213"/>
      <c r="D1" s="213"/>
      <c r="E1" s="213"/>
      <c r="F1" s="935" t="str">
        <f>IF('ДВН и профосмотр_общая '!F4&lt;&gt;"",'ДВН и профосмотр_общая '!F4,"")</f>
        <v>ГБУЗ "Нехаевская ЦРБ"</v>
      </c>
      <c r="G1" s="935"/>
      <c r="H1" s="935"/>
      <c r="I1" s="935"/>
      <c r="J1" s="935"/>
      <c r="K1" s="935"/>
      <c r="L1" s="935"/>
      <c r="M1" s="935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</row>
    <row r="3" spans="1:35" ht="94.5" x14ac:dyDescent="0.25">
      <c r="A3" s="359"/>
      <c r="B3" s="360" t="s">
        <v>709</v>
      </c>
      <c r="C3" s="361" t="s">
        <v>700</v>
      </c>
      <c r="D3" s="361" t="s">
        <v>710</v>
      </c>
      <c r="E3" s="361" t="s">
        <v>701</v>
      </c>
      <c r="F3" s="361" t="s">
        <v>711</v>
      </c>
      <c r="G3" s="361" t="s">
        <v>712</v>
      </c>
      <c r="H3" s="361" t="s">
        <v>713</v>
      </c>
      <c r="I3" s="361" t="s">
        <v>714</v>
      </c>
      <c r="J3" s="361" t="s">
        <v>715</v>
      </c>
      <c r="K3" s="361" t="s">
        <v>716</v>
      </c>
      <c r="L3" s="361" t="s">
        <v>717</v>
      </c>
      <c r="M3" s="361" t="s">
        <v>718</v>
      </c>
    </row>
    <row r="4" spans="1:35" s="365" customFormat="1" ht="12.75" x14ac:dyDescent="0.2">
      <c r="A4" s="362" t="s">
        <v>706</v>
      </c>
      <c r="B4" s="363" t="s">
        <v>706</v>
      </c>
      <c r="C4" s="364" t="s">
        <v>340</v>
      </c>
      <c r="D4" s="364" t="s">
        <v>345</v>
      </c>
      <c r="E4" s="364" t="s">
        <v>353</v>
      </c>
      <c r="F4" s="364" t="s">
        <v>356</v>
      </c>
      <c r="G4" s="364" t="s">
        <v>359</v>
      </c>
      <c r="H4" s="364" t="s">
        <v>538</v>
      </c>
      <c r="I4" s="364" t="s">
        <v>707</v>
      </c>
      <c r="J4" s="364" t="s">
        <v>539</v>
      </c>
      <c r="K4" s="364" t="s">
        <v>540</v>
      </c>
      <c r="L4" s="364" t="s">
        <v>719</v>
      </c>
      <c r="M4" s="364" t="s">
        <v>541</v>
      </c>
    </row>
    <row r="5" spans="1:35" ht="15.75" x14ac:dyDescent="0.25">
      <c r="A5" s="359" t="s">
        <v>720</v>
      </c>
      <c r="B5" s="366" t="s">
        <v>721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</row>
    <row r="6" spans="1:35" ht="15.75" x14ac:dyDescent="0.25">
      <c r="A6" s="359" t="s">
        <v>722</v>
      </c>
      <c r="B6" s="366" t="s">
        <v>723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</row>
    <row r="7" spans="1:35" ht="15.75" x14ac:dyDescent="0.25">
      <c r="A7" s="359" t="s">
        <v>724</v>
      </c>
      <c r="B7" s="366" t="s">
        <v>725</v>
      </c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</row>
    <row r="8" spans="1:35" ht="31.5" x14ac:dyDescent="0.25">
      <c r="A8" s="359" t="s">
        <v>726</v>
      </c>
      <c r="B8" s="366" t="s">
        <v>727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</row>
    <row r="9" spans="1:35" ht="15.75" x14ac:dyDescent="0.25">
      <c r="A9" s="359" t="s">
        <v>728</v>
      </c>
      <c r="B9" s="366" t="s">
        <v>729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</row>
    <row r="10" spans="1:35" ht="31.5" x14ac:dyDescent="0.25">
      <c r="A10" s="359" t="s">
        <v>730</v>
      </c>
      <c r="B10" s="368" t="s">
        <v>731</v>
      </c>
      <c r="C10" s="369">
        <f>C12+C13+C15</f>
        <v>4843</v>
      </c>
      <c r="D10" s="369">
        <f t="shared" ref="D10:K10" si="0">D12+D13+D15</f>
        <v>4843</v>
      </c>
      <c r="E10" s="369">
        <f t="shared" si="0"/>
        <v>2328</v>
      </c>
      <c r="F10" s="369">
        <f t="shared" si="0"/>
        <v>2328</v>
      </c>
      <c r="G10" s="369">
        <f t="shared" si="0"/>
        <v>576</v>
      </c>
      <c r="H10" s="369">
        <f t="shared" si="0"/>
        <v>243</v>
      </c>
      <c r="I10" s="369">
        <f t="shared" si="0"/>
        <v>1509</v>
      </c>
      <c r="J10" s="369">
        <f t="shared" si="0"/>
        <v>1487</v>
      </c>
      <c r="K10" s="369">
        <f t="shared" si="0"/>
        <v>22</v>
      </c>
      <c r="L10" s="361" t="s">
        <v>732</v>
      </c>
      <c r="M10" s="361" t="s">
        <v>732</v>
      </c>
    </row>
    <row r="11" spans="1:35" ht="31.5" x14ac:dyDescent="0.25">
      <c r="A11" s="359" t="s">
        <v>733</v>
      </c>
      <c r="B11" s="366" t="s">
        <v>685</v>
      </c>
      <c r="C11" s="361">
        <f>C14+C16</f>
        <v>1640</v>
      </c>
      <c r="D11" s="361">
        <f t="shared" ref="D11:K11" si="1">D14+D16</f>
        <v>1640</v>
      </c>
      <c r="E11" s="361">
        <f t="shared" si="1"/>
        <v>571</v>
      </c>
      <c r="F11" s="361">
        <f t="shared" si="1"/>
        <v>571</v>
      </c>
      <c r="G11" s="361">
        <f t="shared" si="1"/>
        <v>7</v>
      </c>
      <c r="H11" s="361">
        <f t="shared" si="1"/>
        <v>22</v>
      </c>
      <c r="I11" s="361">
        <f t="shared" si="1"/>
        <v>542</v>
      </c>
      <c r="J11" s="361">
        <f t="shared" si="1"/>
        <v>538</v>
      </c>
      <c r="K11" s="361">
        <f t="shared" si="1"/>
        <v>4</v>
      </c>
      <c r="L11" s="361" t="s">
        <v>732</v>
      </c>
      <c r="M11" s="361" t="s">
        <v>732</v>
      </c>
    </row>
    <row r="12" spans="1:35" ht="15.75" x14ac:dyDescent="0.25">
      <c r="A12" s="359"/>
      <c r="B12" s="368" t="s">
        <v>734</v>
      </c>
      <c r="C12" s="361">
        <f>'ДВН и профосмотр_общая '!AD11</f>
        <v>1141</v>
      </c>
      <c r="D12" s="361">
        <f>'ДВН и профосмотр_общая '!AE11</f>
        <v>1141</v>
      </c>
      <c r="E12" s="361">
        <f>'ДВН и профосмотр_общая '!AF11</f>
        <v>526</v>
      </c>
      <c r="F12" s="361">
        <f>'ДВН и профосмотр_общая '!AH11</f>
        <v>526</v>
      </c>
      <c r="G12" s="361">
        <f>'ДВН и профосмотр_общая '!AI11</f>
        <v>129</v>
      </c>
      <c r="H12" s="361">
        <f>'ДВН и профосмотр_общая '!AJ11</f>
        <v>104</v>
      </c>
      <c r="I12" s="361">
        <f>'ДВН и профосмотр_общая '!AK11</f>
        <v>293</v>
      </c>
      <c r="J12" s="361">
        <f>'ДВН и профосмотр_общая '!AL11</f>
        <v>285</v>
      </c>
      <c r="K12" s="361">
        <f>'ДВН и профосмотр_общая '!AM11</f>
        <v>8</v>
      </c>
      <c r="L12" s="361" t="s">
        <v>732</v>
      </c>
      <c r="M12" s="361" t="s">
        <v>732</v>
      </c>
    </row>
    <row r="13" spans="1:35" ht="31.5" x14ac:dyDescent="0.25">
      <c r="A13" s="359"/>
      <c r="B13" s="368" t="s">
        <v>735</v>
      </c>
      <c r="C13" s="361">
        <f>'период. и предвар. осмотры'!D16</f>
        <v>1000</v>
      </c>
      <c r="D13" s="361">
        <f>'период. и предвар. осмотры'!E16</f>
        <v>1000</v>
      </c>
      <c r="E13" s="361">
        <f>'период. и предвар. осмотры'!H16</f>
        <v>1000</v>
      </c>
      <c r="F13" s="361">
        <f>'период. и предвар. осмотры'!I16</f>
        <v>1000</v>
      </c>
      <c r="G13" s="361">
        <f>'период. и предвар. осмотры'!L16</f>
        <v>324</v>
      </c>
      <c r="H13" s="361">
        <f>'период. и предвар. осмотры'!M16</f>
        <v>42</v>
      </c>
      <c r="I13" s="361">
        <f>'период. и предвар. осмотры'!N16</f>
        <v>634</v>
      </c>
      <c r="J13" s="361">
        <f>'период. и предвар. осмотры'!O16</f>
        <v>630</v>
      </c>
      <c r="K13" s="361">
        <f>'период. и предвар. осмотры'!P16</f>
        <v>4</v>
      </c>
      <c r="L13" s="361" t="s">
        <v>732</v>
      </c>
      <c r="M13" s="361" t="s">
        <v>732</v>
      </c>
    </row>
    <row r="14" spans="1:35" ht="31.5" x14ac:dyDescent="0.25">
      <c r="A14" s="359"/>
      <c r="B14" s="366" t="s">
        <v>685</v>
      </c>
      <c r="C14" s="361">
        <f>'период. и предвар. осмотры'!D17</f>
        <v>100</v>
      </c>
      <c r="D14" s="361">
        <f>'период. и предвар. осмотры'!E17</f>
        <v>100</v>
      </c>
      <c r="E14" s="361">
        <f>'период. и предвар. осмотры'!H17</f>
        <v>100</v>
      </c>
      <c r="F14" s="361">
        <f>'период. и предвар. осмотры'!I17</f>
        <v>100</v>
      </c>
      <c r="G14" s="361">
        <f>'период. и предвар. осмотры'!L17</f>
        <v>0</v>
      </c>
      <c r="H14" s="361">
        <f>'период. и предвар. осмотры'!M17</f>
        <v>0</v>
      </c>
      <c r="I14" s="361">
        <f>'период. и предвар. осмотры'!N17</f>
        <v>100</v>
      </c>
      <c r="J14" s="361">
        <f>'период. и предвар. осмотры'!O17</f>
        <v>100</v>
      </c>
      <c r="K14" s="361">
        <f>'период. и предвар. осмотры'!P17</f>
        <v>0</v>
      </c>
      <c r="L14" s="361" t="s">
        <v>732</v>
      </c>
      <c r="M14" s="361" t="s">
        <v>732</v>
      </c>
    </row>
    <row r="15" spans="1:35" ht="47.25" x14ac:dyDescent="0.25">
      <c r="A15" s="359" t="s">
        <v>736</v>
      </c>
      <c r="B15" s="368" t="s">
        <v>737</v>
      </c>
      <c r="C15" s="361">
        <f>'ДВН и профосмотр_общая '!$A$11</f>
        <v>2702</v>
      </c>
      <c r="D15" s="361">
        <f>'ДВН и профосмотр_общая '!B11</f>
        <v>2702</v>
      </c>
      <c r="E15" s="361">
        <f>'ДВН и профосмотр_общая '!G11</f>
        <v>802</v>
      </c>
      <c r="F15" s="361">
        <f>'ДВН и профосмотр_общая '!H11</f>
        <v>802</v>
      </c>
      <c r="G15" s="361">
        <f>'ДВН и профосмотр_общая '!R11</f>
        <v>123</v>
      </c>
      <c r="H15" s="361">
        <f>'ДВН и профосмотр_общая '!S11</f>
        <v>97</v>
      </c>
      <c r="I15" s="361">
        <f>'ДВН и профосмотр_общая '!T11</f>
        <v>582</v>
      </c>
      <c r="J15" s="361">
        <f>'ДВН и профосмотр_общая '!U11</f>
        <v>572</v>
      </c>
      <c r="K15" s="361">
        <f>'ДВН и профосмотр_общая '!V11</f>
        <v>10</v>
      </c>
      <c r="L15" s="361" t="s">
        <v>732</v>
      </c>
      <c r="M15" s="361" t="s">
        <v>732</v>
      </c>
    </row>
    <row r="16" spans="1:35" ht="31.5" x14ac:dyDescent="0.25">
      <c r="A16" s="359" t="s">
        <v>738</v>
      </c>
      <c r="B16" s="366" t="s">
        <v>685</v>
      </c>
      <c r="C16" s="361">
        <f>'ДВН и профосмотр_общая '!C11</f>
        <v>1540</v>
      </c>
      <c r="D16" s="361">
        <f>'ДВН и профосмотр_общая '!D11</f>
        <v>1540</v>
      </c>
      <c r="E16" s="361">
        <f>'ДВН и профосмотр_общая '!I11</f>
        <v>471</v>
      </c>
      <c r="F16" s="361">
        <f>'ДВН и профосмотр_общая '!J11</f>
        <v>471</v>
      </c>
      <c r="G16" s="361">
        <f>'ДВН и профосмотр_общая '!W11</f>
        <v>7</v>
      </c>
      <c r="H16" s="361">
        <f>'ДВН и профосмотр_общая '!X11</f>
        <v>22</v>
      </c>
      <c r="I16" s="361">
        <f>'ДВН и профосмотр_общая '!Y11</f>
        <v>442</v>
      </c>
      <c r="J16" s="361">
        <f>'ДВН и профосмотр_общая '!Z11</f>
        <v>438</v>
      </c>
      <c r="K16" s="361">
        <f>'ДВН и профосмотр_общая '!AA11</f>
        <v>4</v>
      </c>
      <c r="L16" s="361" t="s">
        <v>732</v>
      </c>
      <c r="M16" s="361" t="s">
        <v>732</v>
      </c>
    </row>
    <row r="17" spans="1:13" ht="22.5" customHeight="1" x14ac:dyDescent="0.25">
      <c r="A17" s="359" t="s">
        <v>739</v>
      </c>
      <c r="B17" s="368" t="s">
        <v>740</v>
      </c>
      <c r="C17" s="369">
        <f>C10</f>
        <v>4843</v>
      </c>
      <c r="D17" s="369">
        <f t="shared" ref="D17:K17" si="2">D10</f>
        <v>4843</v>
      </c>
      <c r="E17" s="369">
        <f t="shared" si="2"/>
        <v>2328</v>
      </c>
      <c r="F17" s="369">
        <f t="shared" si="2"/>
        <v>2328</v>
      </c>
      <c r="G17" s="369">
        <f t="shared" si="2"/>
        <v>576</v>
      </c>
      <c r="H17" s="369">
        <f t="shared" si="2"/>
        <v>243</v>
      </c>
      <c r="I17" s="369">
        <f t="shared" si="2"/>
        <v>1509</v>
      </c>
      <c r="J17" s="369">
        <f t="shared" si="2"/>
        <v>1487</v>
      </c>
      <c r="K17" s="369">
        <f t="shared" si="2"/>
        <v>22</v>
      </c>
      <c r="L17" s="361"/>
      <c r="M17" s="361"/>
    </row>
    <row r="19" spans="1:13" x14ac:dyDescent="0.25">
      <c r="J19" s="372"/>
    </row>
    <row r="20" spans="1:13" x14ac:dyDescent="0.25">
      <c r="M20" s="372"/>
    </row>
  </sheetData>
  <sheetProtection password="DB70" sheet="1" objects="1" scenarios="1" autoFilter="0"/>
  <mergeCells count="1">
    <mergeCell ref="F1:M1"/>
  </mergeCells>
  <dataValidations count="1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F1">
      <formula1>Названия_учреждений</formula1>
    </dataValidation>
  </dataValidations>
  <pageMargins left="0.11811023622047245" right="0.11811023622047245" top="0.15748031496062992" bottom="0.15748031496062992" header="0.31496062992125984" footer="0.31496062992125984"/>
  <pageSetup paperSize="9" scale="8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CC"/>
    <pageSetUpPr fitToPage="1"/>
  </sheetPr>
  <dimension ref="A1:AA28"/>
  <sheetViews>
    <sheetView zoomScale="85" zoomScaleNormal="85" workbookViewId="0">
      <selection activeCell="K25" sqref="K25"/>
    </sheetView>
  </sheetViews>
  <sheetFormatPr defaultColWidth="9.140625" defaultRowHeight="15" x14ac:dyDescent="0.25"/>
  <cols>
    <col min="1" max="1" width="9.140625" style="96"/>
    <col min="2" max="2" width="20.7109375" style="96" customWidth="1"/>
    <col min="3" max="3" width="7.140625" style="96" customWidth="1"/>
    <col min="4" max="4" width="13.42578125" style="96" customWidth="1"/>
    <col min="5" max="7" width="12.5703125" style="96" customWidth="1"/>
    <col min="8" max="8" width="14" style="96" customWidth="1"/>
    <col min="9" max="11" width="12.5703125" style="96" customWidth="1"/>
    <col min="12" max="12" width="14.140625" style="96" customWidth="1"/>
    <col min="13" max="15" width="12.5703125" style="96" customWidth="1"/>
    <col min="16" max="16" width="71" style="96" customWidth="1"/>
    <col min="17" max="17" width="73.5703125" style="96" hidden="1" customWidth="1"/>
    <col min="18" max="27" width="9.140625" style="96" hidden="1" customWidth="1"/>
    <col min="28" max="16384" width="9.140625" style="96"/>
  </cols>
  <sheetData>
    <row r="1" spans="1:27" x14ac:dyDescent="0.25">
      <c r="A1" s="158" t="b">
        <f>AND('Титульный лист'!$D$14&lt;&gt;"",'Титульный лист'!$C$22&lt;&gt;"",'Титульный лист'!$B$29&lt;&gt;"",'Титульный лист'!$B$30&lt;&gt;"",'Титульный лист'!$B$31&lt;&gt;"",'Титульный лист'!$B$32&lt;&gt;"",'Титульный лист'!$B$33&lt;&gt;"")</f>
        <v>1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  <c r="M1" s="825"/>
      <c r="N1" s="825"/>
      <c r="O1" s="825"/>
    </row>
    <row r="2" spans="1:27" ht="35.25" customHeight="1" x14ac:dyDescent="0.25">
      <c r="B2" s="834" t="s">
        <v>28</v>
      </c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  <c r="N2" s="834"/>
      <c r="O2" s="834"/>
      <c r="P2" s="97"/>
    </row>
    <row r="3" spans="1:27" ht="15.75" x14ac:dyDescent="0.25">
      <c r="M3" s="98" t="s">
        <v>318</v>
      </c>
    </row>
    <row r="4" spans="1:27" ht="16.5" thickBot="1" x14ac:dyDescent="0.3">
      <c r="B4" s="99" t="s">
        <v>29</v>
      </c>
    </row>
    <row r="5" spans="1:27" ht="27" customHeight="1" thickBot="1" x14ac:dyDescent="0.3">
      <c r="B5" s="826" t="s">
        <v>30</v>
      </c>
      <c r="C5" s="835" t="s">
        <v>47</v>
      </c>
      <c r="D5" s="826" t="s">
        <v>31</v>
      </c>
      <c r="E5" s="828"/>
      <c r="F5" s="828"/>
      <c r="G5" s="829"/>
      <c r="H5" s="839" t="s">
        <v>32</v>
      </c>
      <c r="I5" s="840"/>
      <c r="J5" s="840"/>
      <c r="K5" s="840"/>
      <c r="L5" s="840"/>
      <c r="M5" s="840"/>
      <c r="N5" s="840"/>
      <c r="O5" s="841"/>
    </row>
    <row r="6" spans="1:27" ht="16.5" thickBot="1" x14ac:dyDescent="0.3">
      <c r="B6" s="827"/>
      <c r="C6" s="836"/>
      <c r="D6" s="830"/>
      <c r="E6" s="831"/>
      <c r="F6" s="832"/>
      <c r="G6" s="833"/>
      <c r="H6" s="826" t="s">
        <v>33</v>
      </c>
      <c r="I6" s="828"/>
      <c r="J6" s="828"/>
      <c r="K6" s="829"/>
      <c r="L6" s="842" t="s">
        <v>34</v>
      </c>
      <c r="M6" s="828"/>
      <c r="N6" s="828"/>
      <c r="O6" s="829"/>
    </row>
    <row r="7" spans="1:27" ht="27" customHeight="1" x14ac:dyDescent="0.25">
      <c r="B7" s="827"/>
      <c r="C7" s="836"/>
      <c r="D7" s="837" t="s">
        <v>35</v>
      </c>
      <c r="E7" s="838" t="s">
        <v>36</v>
      </c>
      <c r="F7" s="822" t="s">
        <v>37</v>
      </c>
      <c r="G7" s="823"/>
      <c r="H7" s="814" t="s">
        <v>35</v>
      </c>
      <c r="I7" s="815" t="s">
        <v>36</v>
      </c>
      <c r="J7" s="822" t="s">
        <v>37</v>
      </c>
      <c r="K7" s="823"/>
      <c r="L7" s="816" t="s">
        <v>35</v>
      </c>
      <c r="M7" s="815" t="s">
        <v>36</v>
      </c>
      <c r="N7" s="822" t="s">
        <v>37</v>
      </c>
      <c r="O7" s="823"/>
    </row>
    <row r="8" spans="1:27" ht="116.25" customHeight="1" x14ac:dyDescent="0.25">
      <c r="B8" s="827"/>
      <c r="C8" s="836"/>
      <c r="D8" s="814"/>
      <c r="E8" s="815"/>
      <c r="F8" s="471" t="s">
        <v>48</v>
      </c>
      <c r="G8" s="472" t="s">
        <v>46</v>
      </c>
      <c r="H8" s="814"/>
      <c r="I8" s="815"/>
      <c r="J8" s="471" t="s">
        <v>48</v>
      </c>
      <c r="K8" s="472" t="s">
        <v>46</v>
      </c>
      <c r="L8" s="816"/>
      <c r="M8" s="815"/>
      <c r="N8" s="471" t="s">
        <v>48</v>
      </c>
      <c r="O8" s="472" t="s">
        <v>46</v>
      </c>
      <c r="P8" s="813" t="s">
        <v>411</v>
      </c>
    </row>
    <row r="9" spans="1:27" ht="15.75" x14ac:dyDescent="0.25">
      <c r="B9" s="100">
        <v>1</v>
      </c>
      <c r="C9" s="101">
        <v>2</v>
      </c>
      <c r="D9" s="470">
        <v>3</v>
      </c>
      <c r="E9" s="102">
        <v>4</v>
      </c>
      <c r="F9" s="102">
        <v>5</v>
      </c>
      <c r="G9" s="101">
        <v>6</v>
      </c>
      <c r="H9" s="470">
        <v>7</v>
      </c>
      <c r="I9" s="102">
        <v>8</v>
      </c>
      <c r="J9" s="102">
        <v>9</v>
      </c>
      <c r="K9" s="101">
        <v>10</v>
      </c>
      <c r="L9" s="733">
        <v>11</v>
      </c>
      <c r="M9" s="102">
        <v>12</v>
      </c>
      <c r="N9" s="102">
        <v>13</v>
      </c>
      <c r="O9" s="101">
        <v>14</v>
      </c>
      <c r="P9" s="813"/>
    </row>
    <row r="10" spans="1:27" ht="18.75" x14ac:dyDescent="0.25">
      <c r="B10" s="100" t="s">
        <v>38</v>
      </c>
      <c r="C10" s="101">
        <v>1</v>
      </c>
      <c r="D10" s="185">
        <f>H10+L10</f>
        <v>2257</v>
      </c>
      <c r="E10" s="186">
        <f t="shared" ref="E10:E16" si="0">I10+M10</f>
        <v>400</v>
      </c>
      <c r="F10" s="732">
        <f>'профосмотры 124н'!D9</f>
        <v>84</v>
      </c>
      <c r="G10" s="391">
        <f>'ДВН-124н'!D9</f>
        <v>82</v>
      </c>
      <c r="H10" s="411">
        <f>IF(ISERROR(VLOOKUP('Титульный лист'!$C$22,'Проверочный лист'!$J$3:$AL$55,2,FALSE)),0,VLOOKUP('Титульный лист'!$C$22,'Проверочный лист'!$J$3:$AL$55,2,FALSE))</f>
        <v>1151</v>
      </c>
      <c r="I10" s="412">
        <f>IF(ISERROR(VLOOKUP('Титульный лист'!$C$22,'Проверочный лист'!$J$3:$AL$55,9,FALSE)),0,VLOOKUP('Титульный лист'!$C$22,'Проверочный лист'!$J$3:$AL$55,9,FALSE))</f>
        <v>200</v>
      </c>
      <c r="J10" s="788">
        <v>37</v>
      </c>
      <c r="K10" s="410">
        <v>48</v>
      </c>
      <c r="L10" s="734">
        <f>IF(ISERROR(VLOOKUP('Титульный лист'!$C$22,'Проверочный лист'!$J$3:$AL$55,16,FALSE)),0,VLOOKUP('Титульный лист'!$C$22,'Проверочный лист'!$J$3:$AL$55,16,FALSE))</f>
        <v>1106</v>
      </c>
      <c r="M10" s="412">
        <f>IF(ISERROR(VLOOKUP('Титульный лист'!$C$22,'Проверочный лист'!$J$3:$AL$55,23,FALSE)),0,VLOOKUP('Титульный лист'!$C$22,'Проверочный лист'!$J$3:$AL$55,23,FALSE))</f>
        <v>200</v>
      </c>
      <c r="N10" s="732">
        <f>F10-J10</f>
        <v>47</v>
      </c>
      <c r="O10" s="391">
        <f>G10-K10</f>
        <v>34</v>
      </c>
      <c r="P10" s="432" t="str">
        <f>IF(S10&gt;0,"гр.8 &gt;= гр.7 по строке "&amp;R10,"ОК")</f>
        <v>ОК</v>
      </c>
      <c r="Q10" s="180" t="s">
        <v>328</v>
      </c>
      <c r="R10" s="46" t="str">
        <f>IF(S10&gt;0,INDEX($C$10:$C$17,S10,1),CHAR(151))</f>
        <v>—</v>
      </c>
      <c r="S10" s="47">
        <f>IF(ISERROR(MATCH(FALSE,T10:AA10,0)),0,MATCH(FALSE,T10:AA10,0))</f>
        <v>0</v>
      </c>
      <c r="T10" t="b">
        <f>IF(OR($I10&lt;&gt;0,$H10&lt;&gt;0),$I10&lt;$H10,TRUE)</f>
        <v>1</v>
      </c>
      <c r="U10" t="b">
        <f>IF(OR($I11&lt;&gt;0,$H11&lt;&gt;0),$I11&lt;$H11,TRUE)</f>
        <v>1</v>
      </c>
      <c r="V10" t="b">
        <f>IF(OR($I12&lt;&gt;0,$H12&lt;&gt;0),$I12&lt;$H12,TRUE)</f>
        <v>1</v>
      </c>
      <c r="W10" t="b">
        <f>IF(OR($I13&lt;&gt;0,$H13&lt;&gt;0),$I13&lt;$H13,TRUE)</f>
        <v>1</v>
      </c>
      <c r="X10" t="b">
        <f>IF(OR($I14&lt;&gt;0,$H14&lt;&gt;0),$I14&lt;$H14,TRUE)</f>
        <v>1</v>
      </c>
      <c r="Y10" t="b">
        <f>IF(OR($I15&lt;&gt;0,$H15&lt;&gt;0),$I15&lt;$H15,TRUE)</f>
        <v>1</v>
      </c>
      <c r="Z10" t="b">
        <f>IF(OR($I16&lt;&gt;0,$H16&lt;&gt;0),$I16&lt;$H16,TRUE)</f>
        <v>1</v>
      </c>
      <c r="AA10" t="b">
        <f>IF(OR($I17&lt;&gt;0,$H17&lt;&gt;0),$I17&lt;$H17,TRUE)</f>
        <v>1</v>
      </c>
    </row>
    <row r="11" spans="1:27" ht="18.75" x14ac:dyDescent="0.25">
      <c r="B11" s="100" t="s">
        <v>39</v>
      </c>
      <c r="C11" s="101">
        <v>2</v>
      </c>
      <c r="D11" s="185">
        <f t="shared" ref="D11:D16" si="1">H11+L11</f>
        <v>671</v>
      </c>
      <c r="E11" s="186">
        <f t="shared" si="0"/>
        <v>160</v>
      </c>
      <c r="F11" s="732">
        <f>'профосмотры 124н'!D10</f>
        <v>60</v>
      </c>
      <c r="G11" s="391">
        <f>'ДВН-124н'!D10</f>
        <v>52</v>
      </c>
      <c r="H11" s="411">
        <f>IF(ISERROR(VLOOKUP('Титульный лист'!$C$22,'Проверочный лист'!$J$3:$AL$55,3,FALSE)),0,VLOOKUP('Титульный лист'!$C$22,'Проверочный лист'!$J$3:$AL$55,3,FALSE))</f>
        <v>282</v>
      </c>
      <c r="I11" s="412">
        <f>IF(ISERROR(VLOOKUP('Титульный лист'!$C$22,'Проверочный лист'!$J$3:$AL$55,10,FALSE)),0,VLOOKUP('Титульный лист'!$C$22,'Проверочный лист'!$J$3:$AL$55,10,FALSE))</f>
        <v>80</v>
      </c>
      <c r="J11" s="788">
        <v>20</v>
      </c>
      <c r="K11" s="410">
        <v>32</v>
      </c>
      <c r="L11" s="734">
        <f>IF(ISERROR(VLOOKUP('Титульный лист'!$C$22,'Проверочный лист'!$J$3:$AL$55,17,FALSE)),0,VLOOKUP('Титульный лист'!$C$22,'Проверочный лист'!$J$3:$AL$55,17,FALSE))</f>
        <v>389</v>
      </c>
      <c r="M11" s="412">
        <f>IF(ISERROR(VLOOKUP('Титульный лист'!$C$22,'Проверочный лист'!$J$3:$AL$55,24,FALSE)),0,VLOOKUP('Титульный лист'!$C$22,'Проверочный лист'!$J$3:$AL$55,24,FALSE))</f>
        <v>80</v>
      </c>
      <c r="N11" s="732">
        <f t="shared" ref="N11:O16" si="2">F11-J11</f>
        <v>40</v>
      </c>
      <c r="O11" s="391">
        <f t="shared" si="2"/>
        <v>20</v>
      </c>
      <c r="P11" s="45" t="str">
        <f>IF(S11&gt;0,"гр.12 &gt;= гр.11 по строке "&amp;R11,"ОК")</f>
        <v>ОК</v>
      </c>
      <c r="Q11" s="180" t="s">
        <v>329</v>
      </c>
      <c r="R11" s="46" t="str">
        <f>IF(S11&gt;0,INDEX($C$10:$C$17,S11,1),CHAR(151))</f>
        <v>—</v>
      </c>
      <c r="S11" s="47">
        <f>IF(ISERROR(MATCH(FALSE,T11:AA11,0)),0,MATCH(FALSE,T11:AA11,0))</f>
        <v>0</v>
      </c>
      <c r="T11" t="b">
        <f>IF(OR($M10&lt;&gt;0,$L10&lt;&gt;0),$M10&lt;$L10,TRUE)</f>
        <v>1</v>
      </c>
      <c r="U11" t="b">
        <f>IF(OR($M11&lt;&gt;0,$L11&lt;&gt;0),$M11&lt;$L11,TRUE)</f>
        <v>1</v>
      </c>
      <c r="V11" t="b">
        <f>IF(OR($M12&lt;&gt;0,$L12&lt;&gt;0),$M12&lt;$L12,TRUE)</f>
        <v>1</v>
      </c>
      <c r="W11" t="b">
        <f>IF(OR($M13&lt;&gt;0,$L13&lt;&gt;0),$M13&lt;$L13,TRUE)</f>
        <v>1</v>
      </c>
      <c r="X11" t="b">
        <f>IF(OR($M14&lt;&gt;0,$L14&lt;&gt;0),$M14&lt;$L14,TRUE)</f>
        <v>1</v>
      </c>
      <c r="Y11" t="b">
        <f>IF(OR($M15&lt;&gt;0,$L15&lt;&gt;0),$M15&lt;$L15,TRUE)</f>
        <v>1</v>
      </c>
      <c r="Z11" t="b">
        <f>IF(OR($M16&lt;&gt;0,$L16&lt;&gt;0),$M16&lt;$L16,TRUE)</f>
        <v>1</v>
      </c>
      <c r="AA11" t="b">
        <f>IF(OR($M17&lt;&gt;0,$L17&lt;&gt;0),$M17&lt;$L17,TRUE)</f>
        <v>1</v>
      </c>
    </row>
    <row r="12" spans="1:27" ht="18.75" x14ac:dyDescent="0.25">
      <c r="B12" s="100" t="s">
        <v>40</v>
      </c>
      <c r="C12" s="101">
        <v>3</v>
      </c>
      <c r="D12" s="185">
        <f t="shared" si="1"/>
        <v>2955</v>
      </c>
      <c r="E12" s="186">
        <f t="shared" si="0"/>
        <v>1043</v>
      </c>
      <c r="F12" s="732">
        <f>'профосмотры 124н'!D11</f>
        <v>136</v>
      </c>
      <c r="G12" s="391">
        <f>'ДВН-124н'!D11</f>
        <v>101</v>
      </c>
      <c r="H12" s="411">
        <f>IF(ISERROR(VLOOKUP('Титульный лист'!$C$22,'Проверочный лист'!$J$3:$AL$55,4,FALSE)),0,VLOOKUP('Титульный лист'!$C$22,'Проверочный лист'!$J$3:$AL$55,4,FALSE))</f>
        <v>1567</v>
      </c>
      <c r="I12" s="412">
        <f>IF(ISERROR(VLOOKUP('Титульный лист'!$C$22,'Проверочный лист'!$J$3:$AL$55,11,FALSE)),0,VLOOKUP('Титульный лист'!$C$22,'Проверочный лист'!$J$3:$AL$55,11,FALSE))</f>
        <v>500</v>
      </c>
      <c r="J12" s="788">
        <v>20</v>
      </c>
      <c r="K12" s="410">
        <v>85</v>
      </c>
      <c r="L12" s="734">
        <f>IF(ISERROR(VLOOKUP('Титульный лист'!$C$22,'Проверочный лист'!$J$3:$AL$55,18,FALSE)),0,VLOOKUP('Титульный лист'!$C$22,'Проверочный лист'!$J$3:$AL$55,18,FALSE))</f>
        <v>1388</v>
      </c>
      <c r="M12" s="412">
        <f>IF(ISERROR(VLOOKUP('Титульный лист'!$C$22,'Проверочный лист'!$J$3:$AL$55,25,FALSE)),0,VLOOKUP('Титульный лист'!$C$22,'Проверочный лист'!$J$3:$AL$55,25,FALSE))</f>
        <v>543</v>
      </c>
      <c r="N12" s="732">
        <f t="shared" si="2"/>
        <v>116</v>
      </c>
      <c r="O12" s="391">
        <f t="shared" si="2"/>
        <v>16</v>
      </c>
      <c r="P12" s="45" t="str">
        <f>IF(S12&gt;0,"гр.9+гр.10 &gt; гр.8 по строке "&amp;R12,"ОК")</f>
        <v>ОК</v>
      </c>
      <c r="Q12" s="180" t="s">
        <v>330</v>
      </c>
      <c r="R12" s="46" t="str">
        <f>IF(S12&gt;0,INDEX($C$10:$C$17,S12,1),CHAR(151))</f>
        <v>—</v>
      </c>
      <c r="S12" s="47">
        <f>IF(ISERROR(MATCH(FALSE,T12:AA12,0)),0,MATCH(FALSE,T12:AA12,0))</f>
        <v>0</v>
      </c>
      <c r="T12" t="b">
        <f>IF(OR(SUM($J10:$K10)&lt;&gt;0,$I10&lt;&gt;0),SUM($J10:$K10)&lt;=$I10,TRUE)</f>
        <v>1</v>
      </c>
      <c r="U12" t="b">
        <f>IF(OR(SUM($J11:$K11)&lt;&gt;0,$I11&lt;&gt;0),SUM($J11:$K11)&lt;=$I11,TRUE)</f>
        <v>1</v>
      </c>
      <c r="V12" t="b">
        <f>IF(OR(SUM($J12:$K12)&lt;&gt;0,$I12&lt;&gt;0),SUM($J12:$K12)&lt;=$I12,TRUE)</f>
        <v>1</v>
      </c>
      <c r="W12" t="b">
        <f>IF(OR(SUM($J13:$K13)&lt;&gt;0,$I13&lt;&gt;0),SUM($J13:$K13)&lt;=$I13,TRUE)</f>
        <v>1</v>
      </c>
      <c r="X12" t="b">
        <f>IF(OR(SUM($J14:$K14)&lt;&gt;0,$I14&lt;&gt;0),SUM($J14:$K14)&lt;=$I14,TRUE)</f>
        <v>1</v>
      </c>
      <c r="Y12" t="b">
        <f>IF(OR(SUM($J15:$K15)&lt;&gt;0,$I15&lt;&gt;0),SUM($J15:$K15)&lt;=$I15,TRUE)</f>
        <v>1</v>
      </c>
      <c r="Z12" t="b">
        <f>IF(OR(SUM($J16:$K16)&lt;&gt;0,$I16&lt;&gt;0),SUM($J16:$K16)&lt;=$I16,TRUE)</f>
        <v>1</v>
      </c>
      <c r="AA12" t="b">
        <f>IF(OR(SUM($J17:$K17)&lt;&gt;0,$I17&lt;&gt;0),SUM($J17:$K17)&lt;=$I17,TRUE)</f>
        <v>1</v>
      </c>
    </row>
    <row r="13" spans="1:27" ht="18.75" x14ac:dyDescent="0.25">
      <c r="B13" s="100" t="s">
        <v>41</v>
      </c>
      <c r="C13" s="101">
        <v>4</v>
      </c>
      <c r="D13" s="185">
        <f t="shared" si="1"/>
        <v>1083</v>
      </c>
      <c r="E13" s="186">
        <f t="shared" si="0"/>
        <v>400</v>
      </c>
      <c r="F13" s="732">
        <f>'профосмотры 124н'!D12</f>
        <v>116</v>
      </c>
      <c r="G13" s="391">
        <f>'ДВН-124н'!D12</f>
        <v>86</v>
      </c>
      <c r="H13" s="411">
        <f>IF(ISERROR(VLOOKUP('Титульный лист'!$C$22,'Проверочный лист'!$J$3:$AL$55,5,FALSE)),0,VLOOKUP('Титульный лист'!$C$22,'Проверочный лист'!$J$3:$AL$55,5,FALSE))</f>
        <v>528</v>
      </c>
      <c r="I13" s="412">
        <f>IF(ISERROR(VLOOKUP('Титульный лист'!$C$22,'Проверочный лист'!$J$3:$AL$55,12,FALSE)),0,VLOOKUP('Титульный лист'!$C$22,'Проверочный лист'!$J$3:$AL$55,12,FALSE))</f>
        <v>175</v>
      </c>
      <c r="J13" s="788">
        <v>17</v>
      </c>
      <c r="K13" s="410">
        <v>42</v>
      </c>
      <c r="L13" s="734">
        <f>IF(ISERROR(VLOOKUP('Титульный лист'!$C$22,'Проверочный лист'!$J$3:$AL$55,19,FALSE)),0,VLOOKUP('Титульный лист'!$C$22,'Проверочный лист'!$J$3:$AL$55,19,FALSE))</f>
        <v>555</v>
      </c>
      <c r="M13" s="412">
        <f>IF(ISERROR(VLOOKUP('Титульный лист'!$C$22,'Проверочный лист'!$J$3:$AL$55,26,FALSE)),0,VLOOKUP('Титульный лист'!$C$22,'Проверочный лист'!$J$3:$AL$55,26,FALSE))</f>
        <v>225</v>
      </c>
      <c r="N13" s="732">
        <f t="shared" si="2"/>
        <v>99</v>
      </c>
      <c r="O13" s="391">
        <f t="shared" si="2"/>
        <v>44</v>
      </c>
      <c r="P13" s="45" t="str">
        <f>IF(S13&gt;0,"гр.13+гр.14 &gt; гр.12 по строке "&amp;R13,"ОК")</f>
        <v>ОК</v>
      </c>
      <c r="Q13" s="180" t="s">
        <v>331</v>
      </c>
      <c r="R13" s="46" t="str">
        <f>IF(S13&gt;0,INDEX($C$10:$C$17,S13,1),CHAR(151))</f>
        <v>—</v>
      </c>
      <c r="S13" s="47">
        <f>IF(ISERROR(MATCH(FALSE,T13:AA13,0)),0,MATCH(FALSE,T13:AA13,0))</f>
        <v>0</v>
      </c>
      <c r="T13" t="b">
        <f>IF(OR(SUM($N10:$O10)&lt;&gt;0,$M10&lt;&gt;0),SUM($N10:$O10)&lt;=$M10,TRUE)</f>
        <v>1</v>
      </c>
      <c r="U13" t="b">
        <f>IF(OR(SUM($N11:$O11)&lt;&gt;0,$M11&lt;&gt;0),SUM($N11:$O11)&lt;=$M11,TRUE)</f>
        <v>1</v>
      </c>
      <c r="V13" t="b">
        <f>IF(OR(SUM($N12:$O12)&lt;&gt;0,$M12&lt;&gt;0),SUM($N12:$O12)&lt;=$M12,TRUE)</f>
        <v>1</v>
      </c>
      <c r="W13" t="b">
        <f>IF(OR(SUM($N13:$O13)&lt;&gt;0,$M13&lt;&gt;0),SUM($N13:$O13)&lt;=$M13,TRUE)</f>
        <v>1</v>
      </c>
      <c r="X13" t="b">
        <f>IF(OR(SUM($N14:$O14)&lt;&gt;0,$M14&lt;&gt;0),SUM($N14:$O14)&lt;=$M14,TRUE)</f>
        <v>1</v>
      </c>
      <c r="Y13" t="b">
        <f>IF(OR(SUM($N15:$O15)&lt;&gt;0,$M15&lt;&gt;0),SUM($N15:$O15)&lt;=$M15,TRUE)</f>
        <v>1</v>
      </c>
      <c r="Z13" t="b">
        <f>IF(OR(SUM($N16:$O16)&lt;&gt;0,$M16&lt;&gt;0),SUM($N16:$O16)&lt;=$M16,TRUE)</f>
        <v>1</v>
      </c>
      <c r="AA13" t="b">
        <f>IF(OR(SUM($N17:$O17)&lt;&gt;0,$M17&lt;&gt;0),SUM($N17:$O17)&lt;=$M17,TRUE)</f>
        <v>1</v>
      </c>
    </row>
    <row r="14" spans="1:27" ht="15.75" x14ac:dyDescent="0.25">
      <c r="B14" s="100" t="s">
        <v>42</v>
      </c>
      <c r="C14" s="101">
        <v>5</v>
      </c>
      <c r="D14" s="185">
        <f t="shared" si="1"/>
        <v>837</v>
      </c>
      <c r="E14" s="186">
        <f t="shared" si="0"/>
        <v>350</v>
      </c>
      <c r="F14" s="732">
        <f>'профосмотры 124н'!D13</f>
        <v>130</v>
      </c>
      <c r="G14" s="391">
        <f>'ДВН-124н'!D13</f>
        <v>81</v>
      </c>
      <c r="H14" s="411">
        <f>IF(ISERROR(VLOOKUP('Титульный лист'!$C$22,'Проверочный лист'!$J$3:$AL$55,6,FALSE)),0,VLOOKUP('Титульный лист'!$C$22,'Проверочный лист'!$J$3:$AL$55,6,FALSE))</f>
        <v>334</v>
      </c>
      <c r="I14" s="412">
        <f>IF(ISERROR(VLOOKUP('Титульный лист'!$C$22,'Проверочный лист'!$J$3:$AL$55,13,FALSE)),0,VLOOKUP('Титульный лист'!$C$22,'Проверочный лист'!$J$3:$AL$55,13,FALSE))</f>
        <v>140</v>
      </c>
      <c r="J14" s="788">
        <v>130</v>
      </c>
      <c r="K14" s="410">
        <v>10</v>
      </c>
      <c r="L14" s="734">
        <f>IF(ISERROR(VLOOKUP('Титульный лист'!$C$22,'Проверочный лист'!$J$3:$AL$55,20,FALSE)),0,VLOOKUP('Титульный лист'!$C$22,'Проверочный лист'!$J$3:$AL$55,20,FALSE))</f>
        <v>503</v>
      </c>
      <c r="M14" s="412">
        <f>IF(ISERROR(VLOOKUP('Титульный лист'!$C$22,'Проверочный лист'!$J$3:$AL$55,27,FALSE)),0,VLOOKUP('Титульный лист'!$C$22,'Проверочный лист'!$J$3:$AL$55,27,FALSE))</f>
        <v>210</v>
      </c>
      <c r="N14" s="732"/>
      <c r="O14" s="391">
        <f t="shared" si="2"/>
        <v>71</v>
      </c>
    </row>
    <row r="15" spans="1:27" ht="15.75" x14ac:dyDescent="0.25">
      <c r="B15" s="100" t="s">
        <v>43</v>
      </c>
      <c r="C15" s="101">
        <v>6</v>
      </c>
      <c r="D15" s="185">
        <f t="shared" si="1"/>
        <v>1677</v>
      </c>
      <c r="E15" s="186">
        <f t="shared" si="0"/>
        <v>1040</v>
      </c>
      <c r="F15" s="732"/>
      <c r="G15" s="391">
        <f>'ДВН-124н'!D14</f>
        <v>200</v>
      </c>
      <c r="H15" s="411">
        <f>IF(ISERROR(VLOOKUP('Титульный лист'!$C$22,'Проверочный лист'!$J$3:$AL$55,7,FALSE)),0,VLOOKUP('Титульный лист'!$C$22,'Проверочный лист'!$J$3:$AL$55,7,FALSE))</f>
        <v>670</v>
      </c>
      <c r="I15" s="412">
        <f>IF(ISERROR(VLOOKUP('Титульный лист'!$C$22,'Проверочный лист'!$J$3:$AL$55,14,FALSE)),0,VLOOKUP('Титульный лист'!$C$22,'Проверочный лист'!$J$3:$AL$55,14,FALSE))</f>
        <v>416</v>
      </c>
      <c r="J15" s="788"/>
      <c r="K15" s="410">
        <v>100</v>
      </c>
      <c r="L15" s="734">
        <f>IF(ISERROR(VLOOKUP('Титульный лист'!$C$22,'Проверочный лист'!$J$3:$AL$55,21,FALSE)),0,VLOOKUP('Титульный лист'!$C$22,'Проверочный лист'!$J$3:$AL$55,21,FALSE))</f>
        <v>1007</v>
      </c>
      <c r="M15" s="412">
        <f>IF(ISERROR(VLOOKUP('Титульный лист'!$C$22,'Проверочный лист'!$J$3:$AL$55,28,FALSE)),0,VLOOKUP('Титульный лист'!$C$22,'Проверочный лист'!$J$3:$AL$55,28,FALSE))</f>
        <v>624</v>
      </c>
      <c r="N15" s="732"/>
      <c r="O15" s="391">
        <f t="shared" si="2"/>
        <v>100</v>
      </c>
    </row>
    <row r="16" spans="1:27" ht="15.75" x14ac:dyDescent="0.25">
      <c r="B16" s="100" t="s">
        <v>44</v>
      </c>
      <c r="C16" s="101">
        <v>7</v>
      </c>
      <c r="D16" s="185">
        <f t="shared" si="1"/>
        <v>1061</v>
      </c>
      <c r="E16" s="186">
        <f t="shared" si="0"/>
        <v>450</v>
      </c>
      <c r="F16" s="732"/>
      <c r="G16" s="391">
        <f>'ДВН-124н'!D15</f>
        <v>200</v>
      </c>
      <c r="H16" s="411">
        <f>IF(ISERROR(VLOOKUP('Титульный лист'!$C$22,'Проверочный лист'!$J$3:$AL$55,8,FALSE)),0,VLOOKUP('Титульный лист'!$C$22,'Проверочный лист'!$J$3:$AL$55,8,FALSE))</f>
        <v>424</v>
      </c>
      <c r="I16" s="412">
        <f>IF(ISERROR(VLOOKUP('Титульный лист'!$C$22,'Проверочный лист'!$J$3:$AL$55,15,FALSE)),0,VLOOKUP('Титульный лист'!$C$22,'Проверочный лист'!$J$3:$AL$55,15,FALSE))</f>
        <v>180</v>
      </c>
      <c r="J16" s="788"/>
      <c r="K16" s="410">
        <v>57</v>
      </c>
      <c r="L16" s="734">
        <f>IF(ISERROR(VLOOKUP('Титульный лист'!$C$22,'Проверочный лист'!$J$3:$AL$55,22,FALSE)),0,VLOOKUP('Титульный лист'!$C$22,'Проверочный лист'!$J$3:$AL$55,22,FALSE))</f>
        <v>637</v>
      </c>
      <c r="M16" s="412">
        <f>IF(ISERROR(VLOOKUP('Титульный лист'!$C$22,'Проверочный лист'!$J$3:$AL$55,29,FALSE)),0,VLOOKUP('Титульный лист'!$C$22,'Проверочный лист'!$J$3:$AL$55,29,FALSE))</f>
        <v>270</v>
      </c>
      <c r="N16" s="732"/>
      <c r="O16" s="391">
        <f t="shared" si="2"/>
        <v>143</v>
      </c>
    </row>
    <row r="17" spans="2:17" ht="16.5" thickBot="1" x14ac:dyDescent="0.3">
      <c r="B17" s="108" t="s">
        <v>45</v>
      </c>
      <c r="C17" s="109">
        <v>8</v>
      </c>
      <c r="D17" s="108">
        <f>SUM(D10:D16)</f>
        <v>10541</v>
      </c>
      <c r="E17" s="110">
        <f>SUM(E10:E16)</f>
        <v>3843</v>
      </c>
      <c r="F17" s="110">
        <f>SUM(F10:F14)</f>
        <v>526</v>
      </c>
      <c r="G17" s="109">
        <f>SUM(G10:G16)</f>
        <v>802</v>
      </c>
      <c r="H17" s="108">
        <f t="shared" ref="H17:O17" si="3">SUM(H10:H16)</f>
        <v>4956</v>
      </c>
      <c r="I17" s="110">
        <f t="shared" si="3"/>
        <v>1691</v>
      </c>
      <c r="J17" s="110">
        <f>SUM(J10:J14)</f>
        <v>224</v>
      </c>
      <c r="K17" s="109">
        <f t="shared" si="3"/>
        <v>374</v>
      </c>
      <c r="L17" s="735">
        <f t="shared" si="3"/>
        <v>5585</v>
      </c>
      <c r="M17" s="110">
        <f t="shared" si="3"/>
        <v>2152</v>
      </c>
      <c r="N17" s="110">
        <f t="shared" si="3"/>
        <v>302</v>
      </c>
      <c r="O17" s="109">
        <f t="shared" si="3"/>
        <v>428</v>
      </c>
    </row>
    <row r="18" spans="2:17" ht="16.5" thickBot="1" x14ac:dyDescent="0.3">
      <c r="E18" s="736">
        <f>E17-'ДВН и профосмотр_общая '!A11-'ДВН и профосмотр_общая '!AD11</f>
        <v>0</v>
      </c>
      <c r="F18" s="736">
        <f>F17-'ДВН и профосмотр_общая '!AF11</f>
        <v>0</v>
      </c>
      <c r="G18" s="736">
        <f>G17-'ДВН и профосмотр_общая '!G11</f>
        <v>0</v>
      </c>
      <c r="I18" s="446"/>
    </row>
    <row r="19" spans="2:17" ht="15.75" x14ac:dyDescent="0.25">
      <c r="B19" s="99" t="s">
        <v>49</v>
      </c>
      <c r="F19" s="103" t="s">
        <v>318</v>
      </c>
      <c r="J19" s="819" t="s">
        <v>827</v>
      </c>
      <c r="K19" s="819"/>
    </row>
    <row r="20" spans="2:17" ht="21" customHeight="1" thickBot="1" x14ac:dyDescent="0.3">
      <c r="B20" s="824" t="s">
        <v>52</v>
      </c>
      <c r="C20" s="824"/>
      <c r="D20" s="824"/>
      <c r="E20" s="824"/>
      <c r="F20" s="824"/>
      <c r="G20" s="824"/>
      <c r="H20" s="824"/>
      <c r="I20" s="104"/>
      <c r="J20" s="819"/>
      <c r="K20" s="819"/>
      <c r="L20" s="104"/>
      <c r="M20" s="104"/>
      <c r="N20" s="104"/>
      <c r="O20" s="104"/>
    </row>
    <row r="21" spans="2:17" ht="21" customHeight="1" thickBot="1" x14ac:dyDescent="0.3">
      <c r="B21" s="817" t="s">
        <v>309</v>
      </c>
      <c r="C21" s="817"/>
      <c r="D21" s="817"/>
      <c r="E21" s="817"/>
      <c r="F21" s="818"/>
      <c r="G21" s="451">
        <f>SUM('ДВН и профосмотр_общая '!AW12:AY12)</f>
        <v>331</v>
      </c>
      <c r="H21" s="409" t="s">
        <v>50</v>
      </c>
      <c r="P21" s="45" t="str">
        <f>IF(OR(D22&lt;&gt;0,SUM(O10:O12)&lt;&gt;0),IF(D22&gt;=SUM(O10:O12),"ОК","гр.2 табл.1001 &lt; стр.1+стр.2+стр.3 гр.14 табл.1000 "),"ОК")</f>
        <v>ОК</v>
      </c>
    </row>
    <row r="22" spans="2:17" ht="21" customHeight="1" thickBot="1" x14ac:dyDescent="0.3">
      <c r="B22" s="821" t="s">
        <v>310</v>
      </c>
      <c r="C22" s="821"/>
      <c r="D22" s="749">
        <f>G21-D23</f>
        <v>114</v>
      </c>
      <c r="E22" s="105" t="s">
        <v>50</v>
      </c>
      <c r="G22" s="820" t="s">
        <v>829</v>
      </c>
      <c r="H22" s="820"/>
      <c r="P22" s="45" t="str">
        <f>IF(OR(D22&lt;&gt;0,SUM(O10:O13)&lt;&gt;0),IF(D22&lt;=SUM(O10:O13),"ОК","гр.2 табл.1001 &gt; стр.1+стр.2+стр.3+стр.4 гр.14 табл.1000 "),"ОК")</f>
        <v>ОК</v>
      </c>
      <c r="Q22" s="180" t="s">
        <v>469</v>
      </c>
    </row>
    <row r="23" spans="2:17" ht="21" customHeight="1" thickBot="1" x14ac:dyDescent="0.3">
      <c r="B23" s="821" t="s">
        <v>311</v>
      </c>
      <c r="C23" s="821"/>
      <c r="D23" s="458">
        <f>G21-SUM(O10:O13)</f>
        <v>217</v>
      </c>
      <c r="E23" s="105" t="s">
        <v>51</v>
      </c>
      <c r="G23" s="820"/>
      <c r="H23" s="820"/>
      <c r="P23" s="45" t="str">
        <f>IF(OR(D23&lt;&gt;0,SUM(K10:K13)&lt;&gt;0),IF(D23&gt;=SUM(K10:K13),"ОК","гр.3 табл.1001 &lt; стр.1+стр.2+стр.3+стр.4 гр.10 табл.1000 "),"ОК")</f>
        <v>ОК</v>
      </c>
      <c r="Q23" s="180" t="s">
        <v>465</v>
      </c>
    </row>
    <row r="24" spans="2:17" ht="21" customHeight="1" thickBot="1" x14ac:dyDescent="0.3">
      <c r="B24" s="106"/>
      <c r="C24" s="106"/>
      <c r="D24" s="106"/>
      <c r="H24" s="250"/>
      <c r="P24" s="45" t="str">
        <f>IF(OR(D23&lt;&gt;0,SUM(K10:K14)&lt;&gt;0),IF(D23&lt;=SUM(K10:K14),"ОК","гр.3 табл.1001 &gt; стр.1+стр.2+стр.3+стр.4+стр.5 гр.10 табл.1000 "),"ОК")</f>
        <v>ОК</v>
      </c>
    </row>
    <row r="25" spans="2:17" ht="21" customHeight="1" thickBot="1" x14ac:dyDescent="0.3">
      <c r="B25" s="817" t="s">
        <v>312</v>
      </c>
      <c r="C25" s="817"/>
      <c r="D25" s="817"/>
      <c r="E25" s="817"/>
      <c r="F25" s="818"/>
      <c r="G25" s="451">
        <f>SUM('ДВН и профосмотр_общая '!AW13:AY13)</f>
        <v>526</v>
      </c>
      <c r="H25" s="409" t="s">
        <v>50</v>
      </c>
      <c r="P25" s="45" t="str">
        <f>IF(OR(D26&lt;&gt;0,SUM(N10:N12)&lt;&gt;0),IF(D26&gt;=SUM(N10:N12),"ОК","гр.5 табл.1001 &lt; стр.1+стр.2+стр.3 гр.13 табл.1000 "),"ОК")</f>
        <v>ОК</v>
      </c>
    </row>
    <row r="26" spans="2:17" ht="21" customHeight="1" thickBot="1" x14ac:dyDescent="0.3">
      <c r="B26" s="821" t="s">
        <v>313</v>
      </c>
      <c r="C26" s="821"/>
      <c r="D26" s="749">
        <f>G25-D27</f>
        <v>302</v>
      </c>
      <c r="E26" s="105" t="s">
        <v>50</v>
      </c>
      <c r="H26" s="250"/>
      <c r="P26" s="45" t="str">
        <f>IF(OR(D26&lt;&gt;0,SUM(N10:N13)&lt;&gt;0),IF(D26&lt;=SUM(N10:N13),"ОК","гр.5 табл.1001 &gt; стр.1+стр.2+стр.3+стр.4 гр.13 табл.1000 "),"ОК")</f>
        <v>ОК</v>
      </c>
      <c r="Q26" s="180" t="s">
        <v>466</v>
      </c>
    </row>
    <row r="27" spans="2:17" ht="21" customHeight="1" thickBot="1" x14ac:dyDescent="0.3">
      <c r="B27" s="821" t="s">
        <v>314</v>
      </c>
      <c r="C27" s="821"/>
      <c r="D27" s="458">
        <f>$J$17</f>
        <v>224</v>
      </c>
      <c r="E27" s="105" t="s">
        <v>51</v>
      </c>
      <c r="P27" s="45" t="str">
        <f>IF(OR(D27&lt;&gt;0,SUM(J10:J13)&lt;&gt;0),IF(D27&gt;=SUM(J10:J13),"ОК","гр.6 табл.1001 &lt; стр.1+стр.2+стр.3+стр.4 гр.9 табл.1000 "),"ОК")</f>
        <v>ОК</v>
      </c>
      <c r="Q27" s="180" t="s">
        <v>467</v>
      </c>
    </row>
    <row r="28" spans="2:17" ht="21" customHeight="1" x14ac:dyDescent="0.25">
      <c r="B28" s="107"/>
      <c r="P28" s="45" t="str">
        <f>IF(OR(D27&lt;&gt;0,SUM(J10:J14)&lt;&gt;0),IF(D27&lt;=SUM(J10:J14),"ОК","гр.6 табл.1001 &gt; стр.1+стр.2+стр.3+стр.4+стр.5 гр.9 табл.1000 "),"ОК")</f>
        <v>ОК</v>
      </c>
    </row>
  </sheetData>
  <sheetProtection password="DB70" sheet="1" objects="1" scenarios="1" autoFilter="0"/>
  <mergeCells count="27">
    <mergeCell ref="B1:O1"/>
    <mergeCell ref="B21:F21"/>
    <mergeCell ref="B22:C22"/>
    <mergeCell ref="B23:C23"/>
    <mergeCell ref="B5:B8"/>
    <mergeCell ref="D5:G6"/>
    <mergeCell ref="H6:K6"/>
    <mergeCell ref="B2:O2"/>
    <mergeCell ref="J7:K7"/>
    <mergeCell ref="N7:O7"/>
    <mergeCell ref="C5:C8"/>
    <mergeCell ref="D7:D8"/>
    <mergeCell ref="E7:E8"/>
    <mergeCell ref="H5:O5"/>
    <mergeCell ref="L6:O6"/>
    <mergeCell ref="B26:C26"/>
    <mergeCell ref="B27:C27"/>
    <mergeCell ref="F7:G7"/>
    <mergeCell ref="M7:M8"/>
    <mergeCell ref="B20:H20"/>
    <mergeCell ref="P8:P9"/>
    <mergeCell ref="H7:H8"/>
    <mergeCell ref="I7:I8"/>
    <mergeCell ref="L7:L8"/>
    <mergeCell ref="B25:F25"/>
    <mergeCell ref="J19:K20"/>
    <mergeCell ref="G22:H23"/>
  </mergeCells>
  <conditionalFormatting sqref="P10">
    <cfRule type="expression" dxfId="140" priority="17" stopIfTrue="1">
      <formula>P10&lt;&gt;"ОК"</formula>
    </cfRule>
  </conditionalFormatting>
  <conditionalFormatting sqref="P11">
    <cfRule type="expression" dxfId="139" priority="16" stopIfTrue="1">
      <formula>P11&lt;&gt;"ОК"</formula>
    </cfRule>
  </conditionalFormatting>
  <conditionalFormatting sqref="P12">
    <cfRule type="expression" dxfId="138" priority="15" stopIfTrue="1">
      <formula>P12&lt;&gt;"ОК"</formula>
    </cfRule>
  </conditionalFormatting>
  <conditionalFormatting sqref="P13">
    <cfRule type="expression" dxfId="137" priority="14" stopIfTrue="1">
      <formula>P13&lt;&gt;"ОК"</formula>
    </cfRule>
  </conditionalFormatting>
  <conditionalFormatting sqref="P28">
    <cfRule type="expression" dxfId="136" priority="2" stopIfTrue="1">
      <formula>P28&lt;&gt;"ОК"</formula>
    </cfRule>
  </conditionalFormatting>
  <conditionalFormatting sqref="P22">
    <cfRule type="expression" dxfId="135" priority="11" stopIfTrue="1">
      <formula>P22&lt;&gt;"ОК"</formula>
    </cfRule>
  </conditionalFormatting>
  <conditionalFormatting sqref="P23">
    <cfRule type="expression" dxfId="134" priority="9" stopIfTrue="1">
      <formula>P23&lt;&gt;"ОК"</formula>
    </cfRule>
  </conditionalFormatting>
  <conditionalFormatting sqref="P24">
    <cfRule type="expression" dxfId="133" priority="7" stopIfTrue="1">
      <formula>P24&lt;&gt;"ОК"</formula>
    </cfRule>
  </conditionalFormatting>
  <conditionalFormatting sqref="P25">
    <cfRule type="expression" dxfId="132" priority="6" stopIfTrue="1">
      <formula>P25&lt;&gt;"ОК"</formula>
    </cfRule>
  </conditionalFormatting>
  <conditionalFormatting sqref="P26">
    <cfRule type="expression" dxfId="131" priority="4" stopIfTrue="1">
      <formula>P26&lt;&gt;"ОК"</formula>
    </cfRule>
  </conditionalFormatting>
  <conditionalFormatting sqref="P27">
    <cfRule type="expression" dxfId="130" priority="3" stopIfTrue="1">
      <formula>P27&lt;&gt;"ОК"</formula>
    </cfRule>
  </conditionalFormatting>
  <conditionalFormatting sqref="P21">
    <cfRule type="expression" dxfId="129" priority="1" stopIfTrue="1">
      <formula>P21&lt;&gt;"ОК"</formula>
    </cfRule>
  </conditionalFormatting>
  <dataValidations count="1"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D26:D27 D22:D23 J10:K16 N10:O16">
      <formula1>AND($A$1=TRUE,ISNUMBER(D10),D10&gt;=0,IF(ISERROR(SEARCH(",?",D10)),0,1)=0)</formula1>
    </dataValidation>
  </dataValidations>
  <hyperlinks>
    <hyperlink ref="M3" r:id="rId1" display="http://ivo.garant.ru/document/redirect/179222/792"/>
    <hyperlink ref="F19" r:id="rId2" display="http://ivo.garant.ru/document/redirect/179222/792"/>
  </hyperlink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4294967295" verticalDpi="4294967295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theme="6" tint="-0.249977111117893"/>
  </sheetPr>
  <dimension ref="A1:AG7"/>
  <sheetViews>
    <sheetView zoomScale="90" zoomScaleNormal="90" workbookViewId="0">
      <selection activeCell="B5" sqref="B5"/>
    </sheetView>
  </sheetViews>
  <sheetFormatPr defaultRowHeight="15" x14ac:dyDescent="0.25"/>
  <cols>
    <col min="1" max="1" width="32.140625" customWidth="1"/>
    <col min="2" max="2" width="13.42578125" style="370" customWidth="1"/>
    <col min="3" max="3" width="11.85546875" style="370" customWidth="1"/>
    <col min="4" max="4" width="14.28515625" style="370" customWidth="1"/>
    <col min="5" max="5" width="14.7109375" style="370" customWidth="1"/>
    <col min="6" max="6" width="18.42578125" style="370" customWidth="1"/>
    <col min="7" max="7" width="18.140625" style="370" customWidth="1"/>
    <col min="8" max="8" width="15" style="370" customWidth="1"/>
  </cols>
  <sheetData>
    <row r="1" spans="1:33" ht="24.75" customHeight="1" x14ac:dyDescent="0.25">
      <c r="A1" s="213"/>
      <c r="B1" s="245"/>
      <c r="C1" s="245"/>
      <c r="D1" s="935" t="str">
        <f>IF('ДВН и профосмотр_общая '!F4&lt;&gt;"",'ДВН и профосмотр_общая '!F4,"")</f>
        <v>ГБУЗ "Нехаевская ЦРБ"</v>
      </c>
      <c r="E1" s="935"/>
      <c r="F1" s="935"/>
      <c r="G1" s="935"/>
      <c r="H1" s="935"/>
      <c r="I1" s="935"/>
      <c r="J1" s="935"/>
      <c r="K1" s="935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</row>
    <row r="3" spans="1:33" s="297" customFormat="1" ht="110.25" x14ac:dyDescent="0.25">
      <c r="A3" s="198" t="s">
        <v>699</v>
      </c>
      <c r="B3" s="198" t="s">
        <v>700</v>
      </c>
      <c r="C3" s="198" t="s">
        <v>701</v>
      </c>
      <c r="D3" s="198" t="s">
        <v>702</v>
      </c>
      <c r="E3" s="198" t="s">
        <v>703</v>
      </c>
      <c r="F3" s="198" t="s">
        <v>704</v>
      </c>
      <c r="G3" s="198" t="s">
        <v>705</v>
      </c>
      <c r="H3" s="198" t="s">
        <v>674</v>
      </c>
      <c r="N3" s="349"/>
    </row>
    <row r="4" spans="1:33" s="338" customFormat="1" ht="12.75" x14ac:dyDescent="0.2">
      <c r="A4" s="373" t="s">
        <v>706</v>
      </c>
      <c r="B4" s="374" t="s">
        <v>340</v>
      </c>
      <c r="C4" s="374" t="s">
        <v>345</v>
      </c>
      <c r="D4" s="374" t="s">
        <v>353</v>
      </c>
      <c r="E4" s="374" t="s">
        <v>356</v>
      </c>
      <c r="F4" s="374" t="s">
        <v>359</v>
      </c>
      <c r="G4" s="374" t="s">
        <v>538</v>
      </c>
      <c r="H4" s="374" t="s">
        <v>707</v>
      </c>
      <c r="N4" s="353"/>
    </row>
    <row r="5" spans="1:33" s="297" customFormat="1" ht="22.5" customHeight="1" x14ac:dyDescent="0.25">
      <c r="A5" s="375" t="s">
        <v>708</v>
      </c>
      <c r="B5" s="102">
        <f>SUM(B6:B7)</f>
        <v>1000</v>
      </c>
      <c r="C5" s="102">
        <f t="shared" ref="C5:H5" si="0">SUM(C6:C7)</f>
        <v>1000</v>
      </c>
      <c r="D5" s="102">
        <f t="shared" si="0"/>
        <v>0</v>
      </c>
      <c r="E5" s="102">
        <f t="shared" si="0"/>
        <v>995</v>
      </c>
      <c r="F5" s="102">
        <f t="shared" si="0"/>
        <v>5</v>
      </c>
      <c r="G5" s="102">
        <f t="shared" si="0"/>
        <v>0</v>
      </c>
      <c r="H5" s="102">
        <f t="shared" si="0"/>
        <v>0</v>
      </c>
      <c r="N5" s="304"/>
    </row>
    <row r="6" spans="1:33" s="297" customFormat="1" ht="51.75" customHeight="1" x14ac:dyDescent="0.25">
      <c r="A6" s="376" t="s">
        <v>687</v>
      </c>
      <c r="B6" s="102">
        <f>'период. и предвар. осмотры'!D26</f>
        <v>880</v>
      </c>
      <c r="C6" s="102">
        <f>'период. и предвар. осмотры'!E26</f>
        <v>880</v>
      </c>
      <c r="D6" s="102">
        <f>'период. и предвар. осмотры'!F26</f>
        <v>0</v>
      </c>
      <c r="E6" s="102">
        <f>'период. и предвар. осмотры'!G26</f>
        <v>877</v>
      </c>
      <c r="F6" s="102">
        <f>'период. и предвар. осмотры'!H26</f>
        <v>3</v>
      </c>
      <c r="G6" s="102">
        <f>'период. и предвар. осмотры'!I26</f>
        <v>0</v>
      </c>
      <c r="H6" s="102">
        <f>'период. и предвар. осмотры'!J26</f>
        <v>0</v>
      </c>
      <c r="N6" s="304"/>
    </row>
    <row r="7" spans="1:33" s="297" customFormat="1" ht="31.5" customHeight="1" x14ac:dyDescent="0.25">
      <c r="A7" s="376" t="s">
        <v>689</v>
      </c>
      <c r="B7" s="102">
        <f>'период. и предвар. осмотры'!D27</f>
        <v>120</v>
      </c>
      <c r="C7" s="102">
        <f>'период. и предвар. осмотры'!E27</f>
        <v>120</v>
      </c>
      <c r="D7" s="102">
        <f>'период. и предвар. осмотры'!F27</f>
        <v>0</v>
      </c>
      <c r="E7" s="102">
        <f>'период. и предвар. осмотры'!G27</f>
        <v>118</v>
      </c>
      <c r="F7" s="102">
        <f>'период. и предвар. осмотры'!H27</f>
        <v>2</v>
      </c>
      <c r="G7" s="102">
        <f>'период. и предвар. осмотры'!I27</f>
        <v>0</v>
      </c>
      <c r="H7" s="102">
        <f>'период. и предвар. осмотры'!J27</f>
        <v>0</v>
      </c>
      <c r="N7" s="304"/>
    </row>
  </sheetData>
  <sheetProtection password="DB70" sheet="1" objects="1" scenarios="1" autoFilter="0"/>
  <mergeCells count="1">
    <mergeCell ref="D1:K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7" tint="0.59999389629810485"/>
    <pageSetUpPr fitToPage="1"/>
  </sheetPr>
  <dimension ref="A1:Z22"/>
  <sheetViews>
    <sheetView zoomScale="70" zoomScaleNormal="70" workbookViewId="0">
      <selection activeCell="C8" sqref="C8"/>
    </sheetView>
  </sheetViews>
  <sheetFormatPr defaultRowHeight="15" x14ac:dyDescent="0.25"/>
  <cols>
    <col min="1" max="1" width="45.5703125" customWidth="1"/>
    <col min="2" max="2" width="13.28515625" customWidth="1"/>
    <col min="3" max="3" width="16.42578125" customWidth="1"/>
    <col min="4" max="4" width="14.5703125" bestFit="1" customWidth="1"/>
    <col min="5" max="5" width="13.5703125" customWidth="1"/>
    <col min="6" max="6" width="16.85546875" customWidth="1"/>
    <col min="7" max="7" width="13.5703125" customWidth="1"/>
    <col min="8" max="8" width="18.85546875" customWidth="1"/>
    <col min="9" max="9" width="20.5703125" customWidth="1"/>
    <col min="10" max="10" width="16.7109375" customWidth="1"/>
    <col min="11" max="11" width="18.42578125" customWidth="1"/>
    <col min="12" max="12" width="13.5703125" customWidth="1"/>
    <col min="13" max="15" width="14" customWidth="1"/>
    <col min="16" max="16" width="16.42578125" customWidth="1"/>
    <col min="17" max="17" width="16" customWidth="1"/>
    <col min="18" max="18" width="17.7109375" customWidth="1"/>
    <col min="19" max="19" width="17.42578125" customWidth="1"/>
    <col min="20" max="20" width="15.140625" customWidth="1"/>
    <col min="21" max="21" width="67.85546875" customWidth="1"/>
    <col min="22" max="22" width="44.5703125" hidden="1" customWidth="1"/>
    <col min="23" max="23" width="21" hidden="1" customWidth="1"/>
    <col min="24" max="24" width="18.5703125" hidden="1" customWidth="1"/>
    <col min="25" max="25" width="12.140625" hidden="1" customWidth="1"/>
    <col min="26" max="26" width="12.42578125" hidden="1" customWidth="1"/>
  </cols>
  <sheetData>
    <row r="1" spans="1:26" s="297" customFormat="1" ht="36" customHeight="1" thickBot="1" x14ac:dyDescent="0.35">
      <c r="A1" s="294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1025" t="s">
        <v>741</v>
      </c>
      <c r="C1" s="1026"/>
      <c r="D1" s="1026"/>
      <c r="E1" s="1026"/>
      <c r="F1" s="1026"/>
      <c r="G1" s="1026"/>
      <c r="H1" s="1026"/>
      <c r="I1" s="1026"/>
      <c r="J1" s="1026"/>
      <c r="K1" s="1027"/>
      <c r="L1" s="295"/>
      <c r="M1" s="295"/>
      <c r="N1" s="295"/>
      <c r="O1" s="295"/>
      <c r="P1" s="296"/>
      <c r="Q1" s="295"/>
    </row>
    <row r="2" spans="1:26" s="297" customFormat="1" ht="33.75" customHeight="1" x14ac:dyDescent="0.3">
      <c r="A2" s="298" t="b">
        <f>AND('ДВН и профосмотр_общая '!$F$2&lt;&gt;0,'ДВН и профосмотр_общая '!$F$4&lt;&gt;0,'ДВН и профосмотр_общая '!$D$13&lt;&gt;0,'ДВН и профосмотр_общая '!$D$14&lt;&gt;0,'ДВН и профосмотр_общая '!$D$15&lt;&gt;0)</f>
        <v>1</v>
      </c>
      <c r="B2" s="299"/>
      <c r="C2" s="1028" t="s">
        <v>649</v>
      </c>
      <c r="D2" s="1029"/>
      <c r="E2" s="1029"/>
      <c r="F2" s="1029"/>
      <c r="G2" s="299"/>
      <c r="H2" s="299"/>
      <c r="I2" s="299"/>
      <c r="J2" s="299"/>
      <c r="K2" s="299"/>
      <c r="L2" s="299"/>
      <c r="M2" s="299"/>
      <c r="N2" s="299"/>
      <c r="O2" s="299"/>
      <c r="P2" s="300"/>
    </row>
    <row r="3" spans="1:26" ht="30" customHeight="1" x14ac:dyDescent="0.25">
      <c r="A3" s="948" t="s">
        <v>572</v>
      </c>
      <c r="B3" s="948"/>
      <c r="C3" s="948"/>
      <c r="D3" s="948"/>
      <c r="E3" s="948"/>
      <c r="F3" s="948"/>
      <c r="G3" s="948"/>
      <c r="H3" s="948"/>
      <c r="I3" s="948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</row>
    <row r="4" spans="1:26" ht="27.75" customHeight="1" thickBot="1" x14ac:dyDescent="0.3">
      <c r="A4" s="950" t="s">
        <v>573</v>
      </c>
      <c r="B4" s="950"/>
      <c r="C4" s="950"/>
      <c r="D4" s="950"/>
      <c r="E4" s="950"/>
      <c r="F4" s="950"/>
      <c r="G4" s="950"/>
      <c r="H4" s="950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4" t="s">
        <v>411</v>
      </c>
    </row>
    <row r="5" spans="1:26" ht="35.25" customHeight="1" thickBot="1" x14ac:dyDescent="0.3">
      <c r="A5" s="975" t="s">
        <v>574</v>
      </c>
      <c r="B5" s="1030" t="s">
        <v>615</v>
      </c>
      <c r="C5" s="1031"/>
      <c r="D5" s="1032"/>
      <c r="E5" s="1030" t="s">
        <v>577</v>
      </c>
      <c r="F5" s="1031"/>
      <c r="G5" s="1032"/>
      <c r="H5" s="1033" t="s">
        <v>742</v>
      </c>
      <c r="I5" s="979" t="s">
        <v>579</v>
      </c>
      <c r="J5" s="981" t="s">
        <v>617</v>
      </c>
      <c r="K5" s="982"/>
      <c r="L5" s="982"/>
      <c r="M5" s="982"/>
      <c r="N5" s="982"/>
      <c r="O5" s="269"/>
      <c r="P5" s="269"/>
      <c r="Q5" s="269"/>
      <c r="R5" s="979" t="s">
        <v>743</v>
      </c>
      <c r="S5" s="979" t="s">
        <v>744</v>
      </c>
      <c r="T5" s="983" t="s">
        <v>745</v>
      </c>
      <c r="U5" s="954"/>
    </row>
    <row r="6" spans="1:26" ht="172.5" customHeight="1" thickBot="1" x14ac:dyDescent="0.3">
      <c r="A6" s="976"/>
      <c r="B6" s="257" t="s">
        <v>518</v>
      </c>
      <c r="C6" s="258" t="s">
        <v>583</v>
      </c>
      <c r="D6" s="259" t="s">
        <v>584</v>
      </c>
      <c r="E6" s="497" t="s">
        <v>621</v>
      </c>
      <c r="F6" s="258" t="s">
        <v>746</v>
      </c>
      <c r="G6" s="259" t="s">
        <v>747</v>
      </c>
      <c r="H6" s="1034"/>
      <c r="I6" s="1035"/>
      <c r="J6" s="260" t="s">
        <v>589</v>
      </c>
      <c r="K6" s="260" t="s">
        <v>590</v>
      </c>
      <c r="L6" s="260" t="s">
        <v>591</v>
      </c>
      <c r="M6" s="260" t="s">
        <v>592</v>
      </c>
      <c r="N6" s="261" t="s">
        <v>593</v>
      </c>
      <c r="O6" s="260" t="s">
        <v>594</v>
      </c>
      <c r="P6" s="260" t="s">
        <v>595</v>
      </c>
      <c r="Q6" s="260" t="s">
        <v>596</v>
      </c>
      <c r="R6" s="1035"/>
      <c r="S6" s="1035"/>
      <c r="T6" s="1036"/>
      <c r="U6" s="954"/>
    </row>
    <row r="7" spans="1:26" ht="19.5" customHeight="1" thickBot="1" x14ac:dyDescent="0.3">
      <c r="A7" s="270">
        <v>1</v>
      </c>
      <c r="B7" s="377">
        <v>2</v>
      </c>
      <c r="C7" s="378">
        <v>3</v>
      </c>
      <c r="D7" s="379">
        <v>4</v>
      </c>
      <c r="E7" s="377">
        <v>5</v>
      </c>
      <c r="F7" s="378">
        <v>6</v>
      </c>
      <c r="G7" s="379">
        <v>7</v>
      </c>
      <c r="H7" s="496">
        <v>8</v>
      </c>
      <c r="I7" s="380">
        <v>9</v>
      </c>
      <c r="J7" s="381">
        <v>10</v>
      </c>
      <c r="K7" s="380">
        <v>11</v>
      </c>
      <c r="L7" s="380">
        <v>12</v>
      </c>
      <c r="M7" s="381">
        <v>13</v>
      </c>
      <c r="N7" s="380">
        <v>14</v>
      </c>
      <c r="O7" s="380">
        <v>15</v>
      </c>
      <c r="P7" s="381">
        <v>16</v>
      </c>
      <c r="Q7" s="380">
        <v>17</v>
      </c>
      <c r="R7" s="380">
        <v>18</v>
      </c>
      <c r="S7" s="381">
        <v>19</v>
      </c>
      <c r="T7" s="380">
        <v>20</v>
      </c>
      <c r="U7" s="954"/>
    </row>
    <row r="8" spans="1:26" s="96" customFormat="1" ht="90" customHeight="1" thickBot="1" x14ac:dyDescent="0.3">
      <c r="A8" s="494" t="s">
        <v>748</v>
      </c>
      <c r="B8" s="710">
        <f>'период. и предвар. осмотры'!$H$16</f>
        <v>1000</v>
      </c>
      <c r="C8" s="711"/>
      <c r="D8" s="712"/>
      <c r="E8" s="710">
        <f>'период. и предвар. осмотры'!$I$16</f>
        <v>1000</v>
      </c>
      <c r="F8" s="711"/>
      <c r="G8" s="712"/>
      <c r="H8" s="713"/>
      <c r="I8" s="714"/>
      <c r="J8" s="715"/>
      <c r="K8" s="714"/>
      <c r="L8" s="714"/>
      <c r="M8" s="715"/>
      <c r="N8" s="714"/>
      <c r="O8" s="714"/>
      <c r="P8" s="715"/>
      <c r="Q8" s="714"/>
      <c r="R8" s="714"/>
      <c r="S8" s="715"/>
      <c r="T8" s="716"/>
      <c r="U8" s="271" t="str">
        <f>IF(X8&gt;0,"гр.2 &lt; гр.3+гр.4 по строке "&amp;W8,"ОК")</f>
        <v>ОК</v>
      </c>
      <c r="V8" s="263" t="s">
        <v>599</v>
      </c>
      <c r="W8" s="46" t="str">
        <f>IF(X8&gt;0,INDEX($A$8:$A$9,X8,1),CHAR(151))</f>
        <v>—</v>
      </c>
      <c r="X8" s="47">
        <f>IF(ISERROR(MATCH(FALSE,Y8:Z8,0)),0,MATCH(FALSE,Y8:Z8,0))</f>
        <v>0</v>
      </c>
      <c r="Y8" s="96" t="b">
        <f>IF(OR($B8&lt;&gt;0,SUM($C8:$D8)&lt;&gt;0),$B8&gt;=SUM($C8:$D8),TRUE)</f>
        <v>1</v>
      </c>
      <c r="Z8" s="96" t="b">
        <f>IF(OR($B9&lt;&gt;0,SUM($C9:$D9)&lt;&gt;0),$B9&gt;=SUM($C9:$D9),TRUE)</f>
        <v>1</v>
      </c>
    </row>
    <row r="9" spans="1:26" ht="90" customHeight="1" thickBot="1" x14ac:dyDescent="0.3">
      <c r="A9" s="495" t="s">
        <v>749</v>
      </c>
      <c r="B9" s="717">
        <f>'период. и предвар. осмотры'!$H$17</f>
        <v>100</v>
      </c>
      <c r="C9" s="718"/>
      <c r="D9" s="719"/>
      <c r="E9" s="717">
        <f>'период. и предвар. осмотры'!$I$17</f>
        <v>100</v>
      </c>
      <c r="F9" s="718"/>
      <c r="G9" s="719"/>
      <c r="H9" s="720"/>
      <c r="I9" s="721"/>
      <c r="J9" s="721"/>
      <c r="K9" s="721"/>
      <c r="L9" s="721"/>
      <c r="M9" s="721"/>
      <c r="N9" s="721"/>
      <c r="O9" s="721"/>
      <c r="P9" s="721"/>
      <c r="Q9" s="721"/>
      <c r="R9" s="721"/>
      <c r="S9" s="721"/>
      <c r="T9" s="722"/>
      <c r="U9" s="271" t="str">
        <f>IF(X9&gt;0,"гр.2 &lt; гр.5 по строке "&amp;W9,"ОК")</f>
        <v>ОК</v>
      </c>
      <c r="V9" s="263" t="s">
        <v>750</v>
      </c>
      <c r="W9" s="46" t="str">
        <f>IF(X9&gt;0,INDEX($A$8:$A$9,X9,1),CHAR(151))</f>
        <v>—</v>
      </c>
      <c r="X9" s="47">
        <f>IF(ISERROR(MATCH(FALSE,Y9:Z9,0)),0,MATCH(FALSE,Y9:Z9,0))</f>
        <v>0</v>
      </c>
      <c r="Y9" s="96" t="b">
        <f>IF(OR($B8&lt;&gt;0,$E8&lt;&gt;0),$B8&gt;=$E8,TRUE)</f>
        <v>1</v>
      </c>
      <c r="Z9" s="96" t="b">
        <f>IF(OR($B9&lt;&gt;0,$E9&lt;&gt;0),$B9&gt;=$E9,TRUE)</f>
        <v>1</v>
      </c>
    </row>
    <row r="10" spans="1:26" ht="40.35" customHeight="1" x14ac:dyDescent="0.3">
      <c r="P10" s="382"/>
      <c r="Q10" s="382"/>
      <c r="U10" s="272" t="str">
        <f>IF(X10&gt;0,"гр.5 &lt; гр.6+гр.7 по строке "&amp;W10,"ОК")</f>
        <v>ОК</v>
      </c>
      <c r="V10" s="263" t="s">
        <v>751</v>
      </c>
      <c r="W10" s="46" t="str">
        <f>IF(X10&gt;0,INDEX($A$8:$A$9,X10,1),CHAR(151))</f>
        <v>—</v>
      </c>
      <c r="X10" s="47">
        <f>IF(ISERROR(MATCH(FALSE,Y10:Z10,0)),0,MATCH(FALSE,Y10:Z10,0))</f>
        <v>0</v>
      </c>
      <c r="Y10" s="96" t="b">
        <f>IF(OR($E8&gt;0,SUM($F8:$G8)&lt;&gt;0),$E8&gt;=SUM($F8:$G8),TRUE)</f>
        <v>1</v>
      </c>
      <c r="Z10" s="96" t="b">
        <f>IF(OR($E9&gt;0,SUM($F9:$G9)&lt;&gt;0),$E9&gt;=SUM($F9:$G9),TRUE)</f>
        <v>1</v>
      </c>
    </row>
    <row r="11" spans="1:26" ht="40.35" customHeight="1" x14ac:dyDescent="0.3">
      <c r="A11" s="1024" t="s">
        <v>828</v>
      </c>
      <c r="B11" s="1024"/>
      <c r="C11" s="1024"/>
      <c r="D11" s="1024"/>
      <c r="E11" s="1024"/>
      <c r="F11" s="1024"/>
      <c r="G11" s="1024"/>
      <c r="P11" s="382"/>
      <c r="Q11" s="382"/>
      <c r="U11" s="272" t="str">
        <f>IF(X11&gt;0,"гр.9 &lt; гр.10+гр.11+гр.13+гр.15+гр.16+гр.17 по строке "&amp;W11,"ОК")</f>
        <v>ОК</v>
      </c>
      <c r="V11" s="263" t="s">
        <v>752</v>
      </c>
      <c r="W11" s="46" t="str">
        <f>IF(X11&gt;0,INDEX($A$8:$A$9,X11,1),CHAR(151))</f>
        <v>—</v>
      </c>
      <c r="X11" s="47">
        <f>IF(ISERROR(MATCH(FALSE,Y11:Z11,0)),0,MATCH(FALSE,Y11:Z11,0))</f>
        <v>0</v>
      </c>
      <c r="Y11" s="96" t="b">
        <f>IF(OR($I8&gt;0,SUM($J8:$K8,$M8,$O8:$Q8)&lt;&gt;0),$I8&gt;=SUM($J8:$K8,$M8,$O8:$Q8),TRUE)</f>
        <v>1</v>
      </c>
      <c r="Z11" t="b">
        <f>IF(OR($I9&gt;0,SUM($J9:$K9,$M9,$O9:$Q9)&lt;&gt;0),$I9&gt;=SUM($J9:$K9,$M9,$O9:$Q9),TRUE)</f>
        <v>1</v>
      </c>
    </row>
    <row r="12" spans="1:26" ht="40.35" customHeight="1" x14ac:dyDescent="0.3">
      <c r="A12" s="273"/>
      <c r="B12" s="273"/>
      <c r="G12" s="383"/>
      <c r="P12" s="382"/>
      <c r="Q12" s="382"/>
      <c r="U12" s="272" t="str">
        <f>IF(X12&gt;0,"гр.18 &gt; гр.8 по строке "&amp;W12,"ОК")</f>
        <v>ОК</v>
      </c>
      <c r="V12" s="263" t="s">
        <v>753</v>
      </c>
      <c r="W12" s="46" t="str">
        <f>IF(X12&gt;0,INDEX($A$8:$A$9,X12,1),CHAR(151))</f>
        <v>—</v>
      </c>
      <c r="X12" s="47">
        <f>IF(ISERROR(MATCH(FALSE,Y12:Z12,0)),0,MATCH(FALSE,Y12:Z12,0))</f>
        <v>0</v>
      </c>
      <c r="Y12" s="96" t="b">
        <f>IF(OR($R8&lt;&gt;0,$H8&lt;&gt;0),$R8&lt;=$H8,TRUE)</f>
        <v>1</v>
      </c>
      <c r="Z12" s="96" t="b">
        <f>IF(OR($R9&lt;&gt;0,$H9&lt;&gt;0),$R9&lt;=$H9,TRUE)</f>
        <v>1</v>
      </c>
    </row>
    <row r="13" spans="1:26" ht="40.35" customHeight="1" x14ac:dyDescent="0.3">
      <c r="G13" s="6"/>
      <c r="P13" s="382"/>
      <c r="Q13" s="382"/>
      <c r="U13" s="272" t="str">
        <f>IF(OR(H9&lt;&gt;0,I9&lt;&gt;0),IF(H9&gt;I9,"гр.8 &gt; гр.9","ОК"),"ОК")</f>
        <v>ОК</v>
      </c>
      <c r="V13" s="263" t="s">
        <v>754</v>
      </c>
      <c r="Y13" s="96"/>
    </row>
    <row r="14" spans="1:26" ht="40.35" customHeight="1" x14ac:dyDescent="0.3">
      <c r="G14" s="6"/>
      <c r="P14" s="382"/>
      <c r="Q14" s="382"/>
      <c r="U14" s="272" t="str">
        <f>IF(OR(C9&lt;&gt;0,F9&lt;&gt;0),IF(C9&lt;F9,"гр.3 &lt; гр.6","ОК"),"ОК")</f>
        <v>ОК</v>
      </c>
      <c r="V14" s="263" t="s">
        <v>755</v>
      </c>
    </row>
    <row r="15" spans="1:26" ht="40.35" customHeight="1" x14ac:dyDescent="0.3">
      <c r="G15" s="6"/>
      <c r="H15" s="6"/>
      <c r="U15" s="272" t="str">
        <f>IF(OR(D9&lt;&gt;0,G9&lt;&gt;0),IF(D9&lt;G9,"гр.4 &lt; гр.7","ОК"),"ОК")</f>
        <v>ОК</v>
      </c>
      <c r="V15" s="263" t="s">
        <v>756</v>
      </c>
    </row>
    <row r="16" spans="1:26" ht="40.35" customHeight="1" x14ac:dyDescent="0.3">
      <c r="G16" s="6"/>
      <c r="H16" s="6"/>
      <c r="U16" s="272" t="str">
        <f>IF(X16&gt;0,"гр.19 &gt; гр.8 по строке "&amp;W16,"ОК")</f>
        <v>ОК</v>
      </c>
      <c r="V16" s="263" t="s">
        <v>757</v>
      </c>
      <c r="W16" s="46" t="str">
        <f>IF(X16&gt;0,INDEX($A$8:$A$9,X16,1),CHAR(151))</f>
        <v>—</v>
      </c>
      <c r="X16" s="47">
        <f>IF(ISERROR(MATCH(FALSE,Y16:Z16,0)),0,MATCH(FALSE,Y16:Z16,0))</f>
        <v>0</v>
      </c>
      <c r="Y16" s="96" t="b">
        <f>IF(OR($S8&lt;&gt;0,$H8&lt;&gt;0),$S8&lt;=$H8,TRUE)</f>
        <v>1</v>
      </c>
      <c r="Z16" s="96" t="b">
        <f>IF(OR($S9&lt;&gt;0,$H9&lt;&gt;0),$S9&lt;=$H9,TRUE)</f>
        <v>1</v>
      </c>
    </row>
    <row r="17" spans="8:26" ht="40.35" customHeight="1" x14ac:dyDescent="0.3">
      <c r="H17" s="6"/>
      <c r="U17" s="272" t="str">
        <f>IF(X17&gt;0,"гр.20 &gt; гр.8 по строке "&amp;W17,"ОК")</f>
        <v>ОК</v>
      </c>
      <c r="V17" s="263" t="s">
        <v>758</v>
      </c>
      <c r="W17" s="46" t="str">
        <f>IF(X17&gt;0,INDEX($A$8:$A$9,X17,1),CHAR(151))</f>
        <v>—</v>
      </c>
      <c r="X17" s="47">
        <f>IF(ISERROR(MATCH(FALSE,Y17:Z17,0)),0,MATCH(FALSE,Y17:Z17,0))</f>
        <v>0</v>
      </c>
      <c r="Y17" s="96" t="b">
        <f>IF(OR($T8&lt;&gt;0,$R8&lt;&gt;0),$T8&lt;=$R8,TRUE)</f>
        <v>1</v>
      </c>
      <c r="Z17" s="96" t="b">
        <f>IF(OR($T9&lt;&gt;0,$R9&lt;&gt;0),$T9&lt;=$R9,TRUE)</f>
        <v>1</v>
      </c>
    </row>
    <row r="18" spans="8:26" ht="23.25" x14ac:dyDescent="0.3">
      <c r="H18" s="6"/>
      <c r="U18" s="272" t="str">
        <f>IF(OR(K9&lt;&gt;0,L9&lt;&gt;0),IF(K9&lt;L9,"гр.11 &lt; гр.12","ОК"),"ОК")</f>
        <v>ОК</v>
      </c>
      <c r="V18" s="263" t="s">
        <v>759</v>
      </c>
      <c r="Y18" s="96"/>
    </row>
    <row r="19" spans="8:26" ht="23.25" x14ac:dyDescent="0.25">
      <c r="U19" s="272" t="str">
        <f>IF(OR(M9&lt;&gt;0,N9&lt;&gt;0),IF(M9&lt;N9,"гр.13 &lt; гр.14","ОК"),"ОК")</f>
        <v>ОК</v>
      </c>
      <c r="V19" s="263" t="s">
        <v>760</v>
      </c>
    </row>
    <row r="20" spans="8:26" ht="63" x14ac:dyDescent="0.25">
      <c r="V20" s="384" t="s">
        <v>761</v>
      </c>
    </row>
    <row r="21" spans="8:26" ht="84" x14ac:dyDescent="0.25">
      <c r="V21" s="384" t="s">
        <v>762</v>
      </c>
    </row>
    <row r="22" spans="8:26" ht="42" x14ac:dyDescent="0.25">
      <c r="V22" s="384" t="s">
        <v>763</v>
      </c>
    </row>
  </sheetData>
  <sheetProtection password="DB70" sheet="1" objects="1" scenarios="1" autoFilter="0"/>
  <mergeCells count="15">
    <mergeCell ref="U4:U7"/>
    <mergeCell ref="A5:A6"/>
    <mergeCell ref="B5:D5"/>
    <mergeCell ref="E5:G5"/>
    <mergeCell ref="H5:H6"/>
    <mergeCell ref="I5:I6"/>
    <mergeCell ref="J5:N5"/>
    <mergeCell ref="R5:R6"/>
    <mergeCell ref="S5:S6"/>
    <mergeCell ref="T5:T6"/>
    <mergeCell ref="A11:G11"/>
    <mergeCell ref="B1:K1"/>
    <mergeCell ref="C2:F2"/>
    <mergeCell ref="A3:I3"/>
    <mergeCell ref="A4:T4"/>
  </mergeCells>
  <conditionalFormatting sqref="U8">
    <cfRule type="expression" dxfId="11" priority="13" stopIfTrue="1">
      <formula>U8&lt;&gt;"ОК"</formula>
    </cfRule>
  </conditionalFormatting>
  <conditionalFormatting sqref="U13">
    <cfRule type="expression" dxfId="10" priority="12" stopIfTrue="1">
      <formula>U13&lt;&gt;"ОК"</formula>
    </cfRule>
  </conditionalFormatting>
  <conditionalFormatting sqref="U14">
    <cfRule type="expression" dxfId="9" priority="11" stopIfTrue="1">
      <formula>U14&lt;&gt;"ОК"</formula>
    </cfRule>
  </conditionalFormatting>
  <conditionalFormatting sqref="U15">
    <cfRule type="expression" dxfId="8" priority="10" stopIfTrue="1">
      <formula>U15&lt;&gt;"ОК"</formula>
    </cfRule>
  </conditionalFormatting>
  <conditionalFormatting sqref="U18">
    <cfRule type="expression" dxfId="7" priority="8" stopIfTrue="1">
      <formula>U18&lt;&gt;"ОК"</formula>
    </cfRule>
  </conditionalFormatting>
  <conditionalFormatting sqref="U19">
    <cfRule type="expression" dxfId="6" priority="7" stopIfTrue="1">
      <formula>U19&lt;&gt;"ОК"</formula>
    </cfRule>
  </conditionalFormatting>
  <conditionalFormatting sqref="U9">
    <cfRule type="expression" dxfId="5" priority="6" stopIfTrue="1">
      <formula>U9&lt;&gt;"ОК"</formula>
    </cfRule>
  </conditionalFormatting>
  <conditionalFormatting sqref="U10">
    <cfRule type="expression" dxfId="4" priority="5" stopIfTrue="1">
      <formula>U10&lt;&gt;"ОК"</formula>
    </cfRule>
  </conditionalFormatting>
  <conditionalFormatting sqref="U11">
    <cfRule type="expression" dxfId="3" priority="4" stopIfTrue="1">
      <formula>U11&lt;&gt;"ОК"</formula>
    </cfRule>
  </conditionalFormatting>
  <conditionalFormatting sqref="U12">
    <cfRule type="expression" dxfId="2" priority="3" stopIfTrue="1">
      <formula>U12&lt;&gt;"ОК"</formula>
    </cfRule>
  </conditionalFormatting>
  <conditionalFormatting sqref="U16">
    <cfRule type="expression" dxfId="1" priority="2" stopIfTrue="1">
      <formula>U16&lt;&gt;"ОК"</formula>
    </cfRule>
  </conditionalFormatting>
  <conditionalFormatting sqref="U17">
    <cfRule type="expression" dxfId="0" priority="1" stopIfTrue="1">
      <formula>U17&lt;&gt;"ОК"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B9:T9">
      <formula1>AND($A$1=TRUE,ISNUMBER(B9),B9&gt;=0,IF(ISERROR(SEARCH(",?",B9)),0,1)=0)</formula1>
    </dataValidation>
  </dataValidations>
  <pageMargins left="0.7" right="0.7" top="0.75" bottom="0.75" header="0.3" footer="0.3"/>
  <pageSetup paperSize="9" scale="31" orientation="landscape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28"/>
  <sheetViews>
    <sheetView tabSelected="1" workbookViewId="0"/>
  </sheetViews>
  <sheetFormatPr defaultColWidth="9.140625" defaultRowHeight="15" x14ac:dyDescent="0.25"/>
  <cols>
    <col min="1" max="8" width="9.140625" style="385"/>
    <col min="9" max="9" width="15.42578125" style="385" bestFit="1" customWidth="1"/>
    <col min="10" max="16384" width="9.140625" style="385"/>
  </cols>
  <sheetData>
    <row r="1" spans="1:33" ht="27" x14ac:dyDescent="0.35">
      <c r="I1" s="386">
        <v>2003</v>
      </c>
      <c r="AG1" s="385" t="s">
        <v>406</v>
      </c>
    </row>
    <row r="3" spans="1:33" ht="27" x14ac:dyDescent="0.35">
      <c r="A3" s="387" t="s">
        <v>764</v>
      </c>
    </row>
    <row r="7" spans="1:33" ht="27" x14ac:dyDescent="0.35">
      <c r="I7" s="386">
        <v>2007</v>
      </c>
    </row>
    <row r="28" spans="9:9" ht="27" x14ac:dyDescent="0.35">
      <c r="I28" s="386">
        <v>2010</v>
      </c>
    </row>
  </sheetData>
  <sheetProtection password="DB70" sheet="1" objects="1" scenarios="1" autoFilter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CCFFCC"/>
    <pageSetUpPr fitToPage="1"/>
  </sheetPr>
  <dimension ref="A1:O27"/>
  <sheetViews>
    <sheetView zoomScale="62" zoomScaleNormal="62" workbookViewId="0">
      <selection activeCell="F16" sqref="F16"/>
    </sheetView>
  </sheetViews>
  <sheetFormatPr defaultColWidth="9.140625" defaultRowHeight="15" x14ac:dyDescent="0.25"/>
  <cols>
    <col min="1" max="1" width="28.140625" style="103" customWidth="1"/>
    <col min="2" max="2" width="90.5703125" style="103" customWidth="1"/>
    <col min="3" max="3" width="10.42578125" style="103" customWidth="1"/>
    <col min="4" max="7" width="22.7109375" style="103" customWidth="1"/>
    <col min="8" max="16384" width="9.140625" style="103"/>
  </cols>
  <sheetData>
    <row r="1" spans="1:15" x14ac:dyDescent="0.25">
      <c r="A1" s="158" t="b">
        <f>AND('Титульный лист'!$D$14&lt;&gt;"",'Титульный лист'!$C$22&lt;&gt;"",'Титульный лист'!$B$29&lt;&gt;"",'Титульный лист'!$B$30&lt;&gt;"",'Титульный лист'!$B$31&lt;&gt;"",'Титульный лист'!$B$32&lt;&gt;"",'Титульный лист'!$B$33&lt;&gt;"")</f>
        <v>1</v>
      </c>
      <c r="B1"/>
      <c r="C1"/>
      <c r="D1"/>
      <c r="E1"/>
      <c r="F1"/>
      <c r="G1"/>
    </row>
    <row r="2" spans="1:15" ht="48.75" customHeight="1" x14ac:dyDescent="0.25">
      <c r="A2" s="843" t="s">
        <v>53</v>
      </c>
      <c r="B2" s="844"/>
      <c r="C2" s="844"/>
      <c r="D2" s="844"/>
      <c r="E2" s="844"/>
      <c r="F2" s="844"/>
      <c r="G2" s="844"/>
      <c r="H2" s="111"/>
      <c r="I2" s="111"/>
      <c r="J2" s="111"/>
      <c r="K2" s="111"/>
      <c r="L2" s="111"/>
      <c r="M2" s="111"/>
      <c r="N2" s="111"/>
      <c r="O2" s="111"/>
    </row>
    <row r="3" spans="1:15" ht="23.25" x14ac:dyDescent="0.3">
      <c r="A3" s="112" t="s">
        <v>54</v>
      </c>
      <c r="F3" s="113" t="s">
        <v>320</v>
      </c>
    </row>
    <row r="4" spans="1:15" ht="99.75" customHeight="1" x14ac:dyDescent="0.25">
      <c r="A4" s="114"/>
      <c r="B4" s="115" t="s">
        <v>55</v>
      </c>
      <c r="C4" s="116" t="s">
        <v>84</v>
      </c>
      <c r="D4" s="116" t="s">
        <v>56</v>
      </c>
      <c r="E4" s="116" t="s">
        <v>57</v>
      </c>
      <c r="F4" s="116" t="s">
        <v>58</v>
      </c>
      <c r="G4" s="116" t="s">
        <v>59</v>
      </c>
    </row>
    <row r="5" spans="1:15" ht="20.25" x14ac:dyDescent="0.25">
      <c r="A5" s="117"/>
      <c r="B5" s="116">
        <v>1</v>
      </c>
      <c r="C5" s="116">
        <v>2</v>
      </c>
      <c r="D5" s="116">
        <v>3</v>
      </c>
      <c r="E5" s="116">
        <v>4</v>
      </c>
      <c r="F5" s="116">
        <v>5</v>
      </c>
      <c r="G5" s="116">
        <v>6</v>
      </c>
    </row>
    <row r="6" spans="1:15" ht="20.25" x14ac:dyDescent="0.25">
      <c r="A6" s="845"/>
      <c r="B6" s="115" t="s">
        <v>60</v>
      </c>
      <c r="C6" s="116">
        <v>1</v>
      </c>
      <c r="D6" s="779">
        <f>SUM('1000, 1001'!$F$17:$G$17)</f>
        <v>1328</v>
      </c>
      <c r="E6" s="116" t="s">
        <v>61</v>
      </c>
      <c r="F6" s="188"/>
      <c r="G6" s="188"/>
    </row>
    <row r="7" spans="1:15" ht="40.5" x14ac:dyDescent="0.25">
      <c r="A7" s="845"/>
      <c r="B7" s="115" t="s">
        <v>62</v>
      </c>
      <c r="C7" s="116">
        <v>2</v>
      </c>
      <c r="D7" s="779">
        <f>SUM('1000, 1001'!$F$17:$G$17)-E7-F7</f>
        <v>1328</v>
      </c>
      <c r="E7" s="188"/>
      <c r="F7" s="188"/>
      <c r="G7" s="188"/>
    </row>
    <row r="8" spans="1:15" ht="20.25" x14ac:dyDescent="0.25">
      <c r="A8" s="845"/>
      <c r="B8" s="115" t="s">
        <v>63</v>
      </c>
      <c r="C8" s="116">
        <v>3</v>
      </c>
      <c r="D8" s="779">
        <f>SUM('1000, 1001'!$F$17:$G$17)-E8-F8</f>
        <v>1328</v>
      </c>
      <c r="E8" s="188"/>
      <c r="F8" s="188"/>
      <c r="G8" s="188"/>
    </row>
    <row r="9" spans="1:15" ht="20.25" x14ac:dyDescent="0.25">
      <c r="A9" s="845"/>
      <c r="B9" s="115" t="s">
        <v>64</v>
      </c>
      <c r="C9" s="116">
        <v>4</v>
      </c>
      <c r="D9" s="779">
        <f>SUM('1000, 1001'!$F$17:$G$17)-E9-F9</f>
        <v>1325</v>
      </c>
      <c r="E9" s="188">
        <v>3</v>
      </c>
      <c r="F9" s="188"/>
      <c r="G9" s="188"/>
    </row>
    <row r="10" spans="1:15" ht="20.25" x14ac:dyDescent="0.25">
      <c r="A10" s="845"/>
      <c r="B10" s="115" t="s">
        <v>65</v>
      </c>
      <c r="C10" s="116">
        <v>5</v>
      </c>
      <c r="D10" s="779">
        <f>SUM('1000, 1001'!$F$17:$G$17)-E10-F10</f>
        <v>1325</v>
      </c>
      <c r="E10" s="188">
        <v>3</v>
      </c>
      <c r="F10" s="188"/>
      <c r="G10" s="188"/>
    </row>
    <row r="11" spans="1:15" ht="20.25" x14ac:dyDescent="0.25">
      <c r="A11" s="845"/>
      <c r="B11" s="115" t="s">
        <v>66</v>
      </c>
      <c r="C11" s="116">
        <v>6</v>
      </c>
      <c r="D11" s="188">
        <v>214</v>
      </c>
      <c r="E11" s="188"/>
      <c r="F11" s="188"/>
      <c r="G11" s="188"/>
    </row>
    <row r="12" spans="1:15" ht="20.25" x14ac:dyDescent="0.25">
      <c r="A12" s="845"/>
      <c r="B12" s="115" t="s">
        <v>67</v>
      </c>
      <c r="C12" s="116">
        <v>7</v>
      </c>
      <c r="D12" s="188">
        <v>607</v>
      </c>
      <c r="E12" s="188"/>
      <c r="F12" s="188"/>
      <c r="G12" s="188"/>
    </row>
    <row r="13" spans="1:15" ht="20.25" x14ac:dyDescent="0.25">
      <c r="A13" s="845"/>
      <c r="B13" s="115" t="s">
        <v>68</v>
      </c>
      <c r="C13" s="116">
        <v>8</v>
      </c>
      <c r="D13" s="188">
        <v>476</v>
      </c>
      <c r="E13" s="188">
        <v>392</v>
      </c>
      <c r="F13" s="188">
        <v>160</v>
      </c>
      <c r="G13" s="188"/>
    </row>
    <row r="14" spans="1:15" ht="20.25" x14ac:dyDescent="0.25">
      <c r="A14" s="845"/>
      <c r="B14" s="115" t="s">
        <v>69</v>
      </c>
      <c r="C14" s="116">
        <v>9</v>
      </c>
      <c r="D14" s="188">
        <v>1199</v>
      </c>
      <c r="E14" s="188">
        <v>67</v>
      </c>
      <c r="F14" s="188">
        <v>2</v>
      </c>
      <c r="G14" s="188"/>
    </row>
    <row r="15" spans="1:15" ht="20.25" x14ac:dyDescent="0.25">
      <c r="A15" s="845"/>
      <c r="B15" s="115" t="s">
        <v>70</v>
      </c>
      <c r="C15" s="116">
        <v>10</v>
      </c>
      <c r="D15" s="188">
        <v>1114</v>
      </c>
      <c r="E15" s="188">
        <v>2</v>
      </c>
      <c r="F15" s="188"/>
      <c r="G15" s="188"/>
    </row>
    <row r="16" spans="1:15" ht="40.5" x14ac:dyDescent="0.25">
      <c r="A16" s="845"/>
      <c r="B16" s="115" t="s">
        <v>71</v>
      </c>
      <c r="C16" s="116">
        <v>11</v>
      </c>
      <c r="D16" s="188">
        <v>720</v>
      </c>
      <c r="E16" s="188">
        <v>2</v>
      </c>
      <c r="F16" s="188"/>
      <c r="G16" s="188"/>
    </row>
    <row r="17" spans="1:7" ht="81" x14ac:dyDescent="0.25">
      <c r="A17" s="845"/>
      <c r="B17" s="115" t="s">
        <v>72</v>
      </c>
      <c r="C17" s="116">
        <v>12</v>
      </c>
      <c r="D17" s="188">
        <v>14</v>
      </c>
      <c r="E17" s="188">
        <v>7</v>
      </c>
      <c r="F17" s="188">
        <v>135</v>
      </c>
      <c r="G17" s="188"/>
    </row>
    <row r="18" spans="1:7" ht="20.25" x14ac:dyDescent="0.25">
      <c r="A18" s="845"/>
      <c r="B18" s="115" t="s">
        <v>73</v>
      </c>
      <c r="C18" s="116">
        <v>13</v>
      </c>
      <c r="D18" s="188"/>
      <c r="E18" s="188"/>
      <c r="F18" s="188">
        <v>240</v>
      </c>
      <c r="G18" s="188"/>
    </row>
    <row r="19" spans="1:7" ht="20.25" x14ac:dyDescent="0.25">
      <c r="A19" s="845"/>
      <c r="B19" s="115" t="s">
        <v>74</v>
      </c>
      <c r="C19" s="116">
        <v>14</v>
      </c>
      <c r="D19" s="188">
        <v>630</v>
      </c>
      <c r="E19" s="188">
        <v>16</v>
      </c>
      <c r="F19" s="188">
        <v>4</v>
      </c>
      <c r="G19" s="188"/>
    </row>
    <row r="20" spans="1:7" ht="20.25" x14ac:dyDescent="0.25">
      <c r="A20" s="845"/>
      <c r="B20" s="115" t="s">
        <v>75</v>
      </c>
      <c r="C20" s="116">
        <v>15</v>
      </c>
      <c r="D20" s="188"/>
      <c r="E20" s="188"/>
      <c r="F20" s="188">
        <v>72</v>
      </c>
      <c r="G20" s="188"/>
    </row>
    <row r="21" spans="1:7" ht="20.25" x14ac:dyDescent="0.25">
      <c r="A21" s="845"/>
      <c r="B21" s="115" t="s">
        <v>76</v>
      </c>
      <c r="C21" s="116">
        <v>16</v>
      </c>
      <c r="D21" s="188"/>
      <c r="E21" s="188"/>
      <c r="F21" s="188"/>
      <c r="G21" s="188"/>
    </row>
    <row r="22" spans="1:7" ht="20.25" x14ac:dyDescent="0.25">
      <c r="A22" s="845"/>
      <c r="B22" s="115" t="s">
        <v>77</v>
      </c>
      <c r="C22" s="116">
        <v>17</v>
      </c>
      <c r="D22" s="188">
        <v>1114</v>
      </c>
      <c r="E22" s="188">
        <v>5</v>
      </c>
      <c r="F22" s="188"/>
      <c r="G22" s="188"/>
    </row>
    <row r="23" spans="1:7" ht="20.25" x14ac:dyDescent="0.25">
      <c r="A23" s="845"/>
      <c r="B23" s="115" t="s">
        <v>78</v>
      </c>
      <c r="C23" s="116">
        <v>18</v>
      </c>
      <c r="D23" s="769">
        <v>1213</v>
      </c>
      <c r="E23" s="188"/>
      <c r="F23" s="188"/>
      <c r="G23" s="188"/>
    </row>
    <row r="24" spans="1:7" ht="121.5" x14ac:dyDescent="0.25">
      <c r="A24" s="845"/>
      <c r="B24" s="115" t="s">
        <v>79</v>
      </c>
      <c r="C24" s="776">
        <v>19</v>
      </c>
      <c r="D24" s="770">
        <f>'1000, 1001'!F17</f>
        <v>526</v>
      </c>
      <c r="E24" s="778" t="s">
        <v>61</v>
      </c>
      <c r="F24" s="188"/>
      <c r="G24" s="188"/>
    </row>
    <row r="25" spans="1:7" s="118" customFormat="1" ht="63" customHeight="1" x14ac:dyDescent="0.25">
      <c r="A25" s="845"/>
      <c r="B25" s="115" t="s">
        <v>412</v>
      </c>
      <c r="C25" s="777" t="s">
        <v>82</v>
      </c>
      <c r="D25" s="779">
        <f>SUM('1000, 1001'!$G$10:$G$11)</f>
        <v>134</v>
      </c>
      <c r="E25" s="778" t="s">
        <v>61</v>
      </c>
      <c r="F25" s="188"/>
      <c r="G25" s="188"/>
    </row>
    <row r="26" spans="1:7" s="118" customFormat="1" ht="63" customHeight="1" x14ac:dyDescent="0.25">
      <c r="A26" s="845"/>
      <c r="B26" s="115" t="s">
        <v>80</v>
      </c>
      <c r="C26" s="777" t="s">
        <v>83</v>
      </c>
      <c r="D26" s="779">
        <f>SUM('1000, 1001'!$G$12:$G$16)</f>
        <v>668</v>
      </c>
      <c r="E26" s="778" t="s">
        <v>61</v>
      </c>
      <c r="F26" s="188"/>
      <c r="G26" s="188"/>
    </row>
    <row r="27" spans="1:7" ht="81" x14ac:dyDescent="0.25">
      <c r="A27" s="846"/>
      <c r="B27" s="115" t="s">
        <v>81</v>
      </c>
      <c r="C27" s="776">
        <v>20</v>
      </c>
      <c r="D27" s="779">
        <f>SUM('1000, 1001'!$F$17:$G$17)</f>
        <v>1328</v>
      </c>
      <c r="E27" s="778" t="s">
        <v>61</v>
      </c>
      <c r="F27" s="188"/>
      <c r="G27" s="188"/>
    </row>
  </sheetData>
  <sheetProtection password="DB70" sheet="1" objects="1" scenarios="1" autoFilter="0"/>
  <mergeCells count="2">
    <mergeCell ref="A2:G2"/>
    <mergeCell ref="A6:A27"/>
  </mergeCells>
  <dataValidations count="1"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F6:G27 E7:E23 D6:D23 D25:D27">
      <formula1>AND($A$1=TRUE,ISNUMBER(D6),D6&gt;=0,IF(ISERROR(SEARCH(",?",D6)),0,1)=0)</formula1>
    </dataValidation>
  </dataValidations>
  <hyperlinks>
    <hyperlink ref="F3" r:id="rId1" display="http://ivo.garant.ru/document/redirect/179222/642"/>
  </hyperlinks>
  <pageMargins left="0.70866141732283472" right="0.70866141732283472" top="0.74803149606299213" bottom="0.74803149606299213" header="0.31496062992125984" footer="0.31496062992125984"/>
  <pageSetup paperSize="9" scale="49" orientation="landscape" horizontalDpi="4294967295" verticalDpi="4294967295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9" tint="0.79998168889431442"/>
    <pageSetUpPr fitToPage="1"/>
  </sheetPr>
  <dimension ref="A1:J29"/>
  <sheetViews>
    <sheetView zoomScale="55" zoomScaleNormal="55" workbookViewId="0">
      <selection activeCell="E25" sqref="E25"/>
    </sheetView>
  </sheetViews>
  <sheetFormatPr defaultColWidth="9.140625" defaultRowHeight="15" x14ac:dyDescent="0.25"/>
  <cols>
    <col min="1" max="1" width="9.140625" style="96"/>
    <col min="2" max="2" width="82.7109375" style="96" customWidth="1"/>
    <col min="3" max="3" width="9.140625" style="96"/>
    <col min="4" max="4" width="18.5703125" style="96" customWidth="1"/>
    <col min="5" max="5" width="17.85546875" style="96" customWidth="1"/>
    <col min="6" max="6" width="19.5703125" style="96" customWidth="1"/>
    <col min="7" max="8" width="16.140625" style="96" customWidth="1"/>
    <col min="9" max="16384" width="9.140625" style="96"/>
  </cols>
  <sheetData>
    <row r="1" spans="1:10" x14ac:dyDescent="0.25">
      <c r="A1" s="158" t="b">
        <f>AND('Титульный лист'!$D$14&lt;&gt;"",'Титульный лист'!$C$22&lt;&gt;"",'Титульный лист'!$B$29&lt;&gt;"",'Титульный лист'!$B$30&lt;&gt;"",'Титульный лист'!$B$31&lt;&gt;"",'Титульный лист'!$B$32&lt;&gt;"",'Титульный лист'!$B$33&lt;&gt;"")</f>
        <v>1</v>
      </c>
      <c r="B1"/>
      <c r="C1"/>
      <c r="D1"/>
      <c r="E1"/>
      <c r="F1"/>
      <c r="G1"/>
      <c r="H1"/>
    </row>
    <row r="2" spans="1:10" ht="21" thickBot="1" x14ac:dyDescent="0.3">
      <c r="B2" s="119" t="s">
        <v>86</v>
      </c>
    </row>
    <row r="3" spans="1:10" ht="19.5" customHeight="1" thickBot="1" x14ac:dyDescent="0.3">
      <c r="B3" s="834" t="s">
        <v>85</v>
      </c>
      <c r="C3" s="834"/>
      <c r="D3" s="849"/>
      <c r="E3" s="447">
        <f>'ДВН и профосмотр_общая '!$AB$11</f>
        <v>535</v>
      </c>
      <c r="H3" s="97"/>
      <c r="I3" s="97"/>
      <c r="J3" s="97"/>
    </row>
    <row r="5" spans="1:10" ht="20.25" x14ac:dyDescent="0.3">
      <c r="B5" s="120" t="s">
        <v>87</v>
      </c>
    </row>
    <row r="7" spans="1:10" ht="21" thickBot="1" x14ac:dyDescent="0.35">
      <c r="B7" s="119" t="s">
        <v>116</v>
      </c>
      <c r="F7" s="113" t="s">
        <v>320</v>
      </c>
    </row>
    <row r="8" spans="1:10" ht="36.75" customHeight="1" thickBot="1" x14ac:dyDescent="0.3">
      <c r="B8" s="847" t="s">
        <v>88</v>
      </c>
      <c r="C8" s="847" t="s">
        <v>111</v>
      </c>
      <c r="D8" s="847" t="s">
        <v>89</v>
      </c>
      <c r="E8" s="850" t="s">
        <v>90</v>
      </c>
      <c r="F8" s="851"/>
      <c r="G8" s="847" t="s">
        <v>58</v>
      </c>
      <c r="H8" s="847" t="s">
        <v>91</v>
      </c>
    </row>
    <row r="9" spans="1:10" ht="81" customHeight="1" thickBot="1" x14ac:dyDescent="0.3">
      <c r="B9" s="848"/>
      <c r="C9" s="848"/>
      <c r="D9" s="848"/>
      <c r="E9" s="40" t="s">
        <v>92</v>
      </c>
      <c r="F9" s="39" t="s">
        <v>117</v>
      </c>
      <c r="G9" s="848"/>
      <c r="H9" s="848"/>
    </row>
    <row r="10" spans="1:10" ht="16.5" thickBot="1" x14ac:dyDescent="0.3">
      <c r="B10" s="94">
        <v>1</v>
      </c>
      <c r="C10" s="94">
        <v>2</v>
      </c>
      <c r="D10" s="94">
        <v>3</v>
      </c>
      <c r="E10" s="94">
        <v>4</v>
      </c>
      <c r="F10" s="94">
        <v>5</v>
      </c>
      <c r="G10" s="94">
        <v>6</v>
      </c>
      <c r="H10" s="95">
        <v>7</v>
      </c>
    </row>
    <row r="11" spans="1:10" ht="21" thickBot="1" x14ac:dyDescent="0.3">
      <c r="B11" s="121" t="s">
        <v>93</v>
      </c>
      <c r="C11" s="94">
        <v>1</v>
      </c>
      <c r="D11" s="786">
        <f t="shared" ref="D11:D29" si="0">SUM(E11:G11)</f>
        <v>0</v>
      </c>
      <c r="E11" s="153"/>
      <c r="F11" s="153"/>
      <c r="G11" s="153"/>
      <c r="H11" s="156"/>
    </row>
    <row r="12" spans="1:10" ht="21" thickBot="1" x14ac:dyDescent="0.3">
      <c r="B12" s="122" t="s">
        <v>94</v>
      </c>
      <c r="C12" s="70">
        <v>2</v>
      </c>
      <c r="D12" s="786">
        <f t="shared" si="0"/>
        <v>0</v>
      </c>
      <c r="E12" s="154"/>
      <c r="F12" s="154"/>
      <c r="G12" s="154"/>
      <c r="H12" s="157"/>
    </row>
    <row r="13" spans="1:10" ht="41.25" thickBot="1" x14ac:dyDescent="0.3">
      <c r="B13" s="123" t="s">
        <v>95</v>
      </c>
      <c r="C13" s="39">
        <v>3</v>
      </c>
      <c r="D13" s="786">
        <f t="shared" si="0"/>
        <v>0</v>
      </c>
      <c r="E13" s="152"/>
      <c r="F13" s="152"/>
      <c r="G13" s="152"/>
      <c r="H13" s="155"/>
    </row>
    <row r="14" spans="1:10" ht="41.25" thickBot="1" x14ac:dyDescent="0.3">
      <c r="B14" s="123" t="s">
        <v>96</v>
      </c>
      <c r="C14" s="39">
        <v>4</v>
      </c>
      <c r="D14" s="786">
        <f t="shared" si="0"/>
        <v>0</v>
      </c>
      <c r="E14" s="152"/>
      <c r="F14" s="152"/>
      <c r="G14" s="152"/>
      <c r="H14" s="155"/>
    </row>
    <row r="15" spans="1:10" ht="21" thickBot="1" x14ac:dyDescent="0.3">
      <c r="B15" s="123" t="s">
        <v>97</v>
      </c>
      <c r="C15" s="39">
        <v>5</v>
      </c>
      <c r="D15" s="786">
        <f t="shared" si="0"/>
        <v>0</v>
      </c>
      <c r="E15" s="152"/>
      <c r="F15" s="152"/>
      <c r="G15" s="152"/>
      <c r="H15" s="155"/>
    </row>
    <row r="16" spans="1:10" ht="21" thickBot="1" x14ac:dyDescent="0.3">
      <c r="B16" s="123" t="s">
        <v>76</v>
      </c>
      <c r="C16" s="39">
        <v>6</v>
      </c>
      <c r="D16" s="786">
        <f t="shared" si="0"/>
        <v>0</v>
      </c>
      <c r="E16" s="152"/>
      <c r="F16" s="152"/>
      <c r="G16" s="152"/>
      <c r="H16" s="155"/>
    </row>
    <row r="17" spans="2:8" ht="21" thickBot="1" x14ac:dyDescent="0.3">
      <c r="B17" s="123" t="s">
        <v>98</v>
      </c>
      <c r="C17" s="39">
        <v>7</v>
      </c>
      <c r="D17" s="786">
        <f t="shared" si="0"/>
        <v>119</v>
      </c>
      <c r="E17" s="152">
        <v>119</v>
      </c>
      <c r="F17" s="152"/>
      <c r="G17" s="152"/>
      <c r="H17" s="155"/>
    </row>
    <row r="18" spans="2:8" ht="21" thickBot="1" x14ac:dyDescent="0.3">
      <c r="B18" s="123" t="s">
        <v>99</v>
      </c>
      <c r="C18" s="39">
        <v>8</v>
      </c>
      <c r="D18" s="786">
        <f t="shared" si="0"/>
        <v>0</v>
      </c>
      <c r="E18" s="152"/>
      <c r="F18" s="152"/>
      <c r="G18" s="152"/>
      <c r="H18" s="155"/>
    </row>
    <row r="19" spans="2:8" ht="21" thickBot="1" x14ac:dyDescent="0.3">
      <c r="B19" s="123" t="s">
        <v>100</v>
      </c>
      <c r="C19" s="39">
        <v>9</v>
      </c>
      <c r="D19" s="786">
        <f t="shared" si="0"/>
        <v>0</v>
      </c>
      <c r="E19" s="152"/>
      <c r="F19" s="152"/>
      <c r="G19" s="152"/>
      <c r="H19" s="155"/>
    </row>
    <row r="20" spans="2:8" ht="21" thickBot="1" x14ac:dyDescent="0.3">
      <c r="B20" s="123" t="s">
        <v>101</v>
      </c>
      <c r="C20" s="39">
        <v>10</v>
      </c>
      <c r="D20" s="786">
        <f t="shared" si="0"/>
        <v>0</v>
      </c>
      <c r="E20" s="152"/>
      <c r="F20" s="152"/>
      <c r="G20" s="152"/>
      <c r="H20" s="155"/>
    </row>
    <row r="21" spans="2:8" ht="21" thickBot="1" x14ac:dyDescent="0.3">
      <c r="B21" s="123" t="s">
        <v>102</v>
      </c>
      <c r="C21" s="39">
        <v>11</v>
      </c>
      <c r="D21" s="786">
        <f t="shared" si="0"/>
        <v>0</v>
      </c>
      <c r="E21" s="152"/>
      <c r="F21" s="152"/>
      <c r="G21" s="152"/>
      <c r="H21" s="155"/>
    </row>
    <row r="22" spans="2:8" ht="21" thickBot="1" x14ac:dyDescent="0.3">
      <c r="B22" s="123" t="s">
        <v>103</v>
      </c>
      <c r="C22" s="39">
        <v>12</v>
      </c>
      <c r="D22" s="786">
        <f t="shared" si="0"/>
        <v>0</v>
      </c>
      <c r="E22" s="152"/>
      <c r="F22" s="152"/>
      <c r="G22" s="152"/>
      <c r="H22" s="155"/>
    </row>
    <row r="23" spans="2:8" ht="61.5" thickBot="1" x14ac:dyDescent="0.3">
      <c r="B23" s="123" t="s">
        <v>104</v>
      </c>
      <c r="C23" s="39">
        <v>13</v>
      </c>
      <c r="D23" s="786">
        <f t="shared" si="0"/>
        <v>535</v>
      </c>
      <c r="E23" s="786">
        <f>SUM(E24:E27)</f>
        <v>535</v>
      </c>
      <c r="F23" s="786">
        <f>SUM(F24:F27)</f>
        <v>0</v>
      </c>
      <c r="G23" s="786">
        <f>SUM(G24:G27)</f>
        <v>0</v>
      </c>
      <c r="H23" s="93" t="s">
        <v>61</v>
      </c>
    </row>
    <row r="24" spans="2:8" ht="102" thickBot="1" x14ac:dyDescent="0.3">
      <c r="B24" s="123" t="s">
        <v>105</v>
      </c>
      <c r="C24" s="67" t="s">
        <v>112</v>
      </c>
      <c r="D24" s="786">
        <f t="shared" si="0"/>
        <v>535</v>
      </c>
      <c r="E24" s="152">
        <v>535</v>
      </c>
      <c r="F24" s="152"/>
      <c r="G24" s="152"/>
      <c r="H24" s="93" t="s">
        <v>61</v>
      </c>
    </row>
    <row r="25" spans="2:8" ht="81.75" thickBot="1" x14ac:dyDescent="0.3">
      <c r="B25" s="123" t="s">
        <v>106</v>
      </c>
      <c r="C25" s="67" t="s">
        <v>113</v>
      </c>
      <c r="D25" s="786">
        <f t="shared" si="0"/>
        <v>0</v>
      </c>
      <c r="E25" s="152"/>
      <c r="F25" s="152"/>
      <c r="G25" s="152"/>
      <c r="H25" s="93" t="s">
        <v>61</v>
      </c>
    </row>
    <row r="26" spans="2:8" ht="41.25" thickBot="1" x14ac:dyDescent="0.3">
      <c r="B26" s="123" t="s">
        <v>107</v>
      </c>
      <c r="C26" s="67" t="s">
        <v>114</v>
      </c>
      <c r="D26" s="786">
        <f t="shared" si="0"/>
        <v>0</v>
      </c>
      <c r="E26" s="152"/>
      <c r="F26" s="152"/>
      <c r="G26" s="152"/>
      <c r="H26" s="93" t="s">
        <v>61</v>
      </c>
    </row>
    <row r="27" spans="2:8" ht="162.75" thickBot="1" x14ac:dyDescent="0.3">
      <c r="B27" s="123" t="s">
        <v>108</v>
      </c>
      <c r="C27" s="67" t="s">
        <v>115</v>
      </c>
      <c r="D27" s="786">
        <f t="shared" si="0"/>
        <v>0</v>
      </c>
      <c r="E27" s="152"/>
      <c r="F27" s="152"/>
      <c r="G27" s="152"/>
      <c r="H27" s="93" t="s">
        <v>61</v>
      </c>
    </row>
    <row r="28" spans="2:8" ht="41.25" thickBot="1" x14ac:dyDescent="0.3">
      <c r="B28" s="123" t="s">
        <v>109</v>
      </c>
      <c r="C28" s="95">
        <v>14</v>
      </c>
      <c r="D28" s="772">
        <f>E28</f>
        <v>535</v>
      </c>
      <c r="E28" s="774">
        <f>'3001, 3002, 3003'!Q4</f>
        <v>535</v>
      </c>
      <c r="F28" s="771"/>
      <c r="G28" s="152"/>
      <c r="H28" s="155"/>
    </row>
    <row r="29" spans="2:8" ht="41.25" thickBot="1" x14ac:dyDescent="0.3">
      <c r="B29" s="121" t="s">
        <v>110</v>
      </c>
      <c r="C29" s="94">
        <v>15</v>
      </c>
      <c r="D29" s="786">
        <f t="shared" si="0"/>
        <v>0</v>
      </c>
      <c r="E29" s="153"/>
      <c r="F29" s="153"/>
      <c r="G29" s="153"/>
      <c r="H29" s="156"/>
    </row>
  </sheetData>
  <sheetProtection password="DB70" sheet="1" objects="1" scenarios="1"/>
  <mergeCells count="7">
    <mergeCell ref="G8:G9"/>
    <mergeCell ref="H8:H9"/>
    <mergeCell ref="B3:D3"/>
    <mergeCell ref="E8:F8"/>
    <mergeCell ref="B8:B9"/>
    <mergeCell ref="C8:C9"/>
    <mergeCell ref="D8:D9"/>
  </mergeCells>
  <dataValidations count="1"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D11:H22 D23:G27 D28:H29">
      <formula1>AND($A$1=TRUE,ISNUMBER(D11),D11&gt;=0,IF(ISERROR(SEARCH(",?",D11)),0,1)=0)</formula1>
    </dataValidation>
  </dataValidations>
  <hyperlinks>
    <hyperlink ref="F7" r:id="rId1" display="http://ivo.garant.ru/document/redirect/179222/642"/>
  </hyperlinks>
  <pageMargins left="0.70866141732283472" right="0.70866141732283472" top="0.74803149606299213" bottom="0.74803149606299213" header="0.31496062992125984" footer="0.31496062992125984"/>
  <pageSetup paperSize="9" scale="46" orientation="landscape" horizontalDpi="4294967295" verticalDpi="4294967295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EF6BA"/>
    <pageSetUpPr fitToPage="1"/>
  </sheetPr>
  <dimension ref="A1:R12"/>
  <sheetViews>
    <sheetView workbookViewId="0">
      <selection activeCell="Q8" sqref="Q8"/>
    </sheetView>
  </sheetViews>
  <sheetFormatPr defaultColWidth="9.140625" defaultRowHeight="20.25" x14ac:dyDescent="0.3"/>
  <cols>
    <col min="1" max="16" width="9.140625" style="6"/>
    <col min="17" max="17" width="16.140625" style="440" customWidth="1"/>
    <col min="18" max="16384" width="9.140625" style="6"/>
  </cols>
  <sheetData>
    <row r="1" spans="1:18" ht="18.75" x14ac:dyDescent="0.3">
      <c r="A1" s="158" t="b">
        <f>AND('Титульный лист'!$D$14&lt;&gt;"",'Титульный лист'!$C$22&lt;&gt;"",'Титульный лист'!$B$29&lt;&gt;"",'Титульный лист'!$B$30&lt;&gt;"",'Титульный лист'!$B$31&lt;&gt;"",'Титульный лист'!$B$32&lt;&gt;"",'Титульный лист'!$B$33&lt;&gt;"")</f>
        <v>1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  <c r="P1" s="853"/>
      <c r="Q1" s="853"/>
    </row>
    <row r="2" spans="1:18" x14ac:dyDescent="0.3">
      <c r="B2" s="23" t="s">
        <v>315</v>
      </c>
      <c r="M2" s="5" t="s">
        <v>318</v>
      </c>
    </row>
    <row r="3" spans="1:18" ht="21" thickBot="1" x14ac:dyDescent="0.35">
      <c r="B3" s="11"/>
    </row>
    <row r="4" spans="1:18" ht="37.5" customHeight="1" thickBot="1" x14ac:dyDescent="0.35">
      <c r="B4" s="852" t="s">
        <v>120</v>
      </c>
      <c r="C4" s="852"/>
      <c r="D4" s="852"/>
      <c r="E4" s="852"/>
      <c r="F4" s="852"/>
      <c r="G4" s="852"/>
      <c r="H4" s="852"/>
      <c r="I4" s="852"/>
      <c r="J4" s="852"/>
      <c r="K4" s="852"/>
      <c r="L4" s="852"/>
      <c r="M4" s="852"/>
      <c r="N4" s="852"/>
      <c r="O4" s="852"/>
      <c r="P4" s="852"/>
      <c r="Q4" s="448">
        <f>'ДВН и профосмотр_общая '!$AC$11</f>
        <v>535</v>
      </c>
      <c r="R4" s="20" t="s">
        <v>51</v>
      </c>
    </row>
    <row r="5" spans="1:18" x14ac:dyDescent="0.3">
      <c r="B5" s="11"/>
      <c r="Q5" s="441"/>
    </row>
    <row r="6" spans="1:18" x14ac:dyDescent="0.3">
      <c r="B6" s="23" t="s">
        <v>316</v>
      </c>
      <c r="M6" s="5" t="s">
        <v>318</v>
      </c>
      <c r="Q6" s="441"/>
    </row>
    <row r="7" spans="1:18" ht="21" thickBot="1" x14ac:dyDescent="0.35">
      <c r="B7" s="11"/>
      <c r="Q7" s="441"/>
    </row>
    <row r="8" spans="1:18" ht="36.75" customHeight="1" thickBot="1" x14ac:dyDescent="0.35">
      <c r="B8" s="852" t="s">
        <v>121</v>
      </c>
      <c r="C8" s="852"/>
      <c r="D8" s="852"/>
      <c r="E8" s="852"/>
      <c r="F8" s="852"/>
      <c r="G8" s="852"/>
      <c r="H8" s="852"/>
      <c r="I8" s="852"/>
      <c r="J8" s="852"/>
      <c r="K8" s="852"/>
      <c r="L8" s="852"/>
      <c r="M8" s="852"/>
      <c r="N8" s="852"/>
      <c r="O8" s="852"/>
      <c r="P8" s="852"/>
      <c r="Q8" s="448">
        <f>'ДВН и профосмотр_общая '!AB11-'ДВН и профосмотр_общая '!AC11-Q12</f>
        <v>0</v>
      </c>
      <c r="R8" s="20" t="s">
        <v>51</v>
      </c>
    </row>
    <row r="9" spans="1:18" x14ac:dyDescent="0.3">
      <c r="B9" s="11"/>
      <c r="Q9" s="441"/>
    </row>
    <row r="10" spans="1:18" x14ac:dyDescent="0.3">
      <c r="B10" s="23" t="s">
        <v>317</v>
      </c>
      <c r="M10" s="5" t="s">
        <v>318</v>
      </c>
      <c r="Q10" s="441"/>
    </row>
    <row r="11" spans="1:18" ht="21" thickBot="1" x14ac:dyDescent="0.35">
      <c r="B11" s="11"/>
      <c r="Q11" s="441"/>
    </row>
    <row r="12" spans="1:18" ht="38.25" customHeight="1" thickBot="1" x14ac:dyDescent="0.35">
      <c r="B12" s="852" t="s">
        <v>122</v>
      </c>
      <c r="C12" s="852"/>
      <c r="D12" s="852"/>
      <c r="E12" s="852"/>
      <c r="F12" s="852"/>
      <c r="G12" s="852"/>
      <c r="H12" s="852"/>
      <c r="I12" s="852"/>
      <c r="J12" s="852"/>
      <c r="K12" s="852"/>
      <c r="L12" s="852"/>
      <c r="M12" s="852"/>
      <c r="N12" s="852"/>
      <c r="O12" s="852"/>
      <c r="P12" s="852"/>
      <c r="Q12" s="442"/>
      <c r="R12" s="20" t="s">
        <v>51</v>
      </c>
    </row>
  </sheetData>
  <sheetProtection password="DB70" sheet="1" objects="1" scenarios="1" autoFilter="0"/>
  <mergeCells count="4">
    <mergeCell ref="B4:P4"/>
    <mergeCell ref="B8:P8"/>
    <mergeCell ref="B12:P12"/>
    <mergeCell ref="B1:Q1"/>
  </mergeCells>
  <dataValidations count="1"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Q4 Q8 Q12">
      <formula1>AND($A$1=TRUE,ISNUMBER(Q4),Q4&gt;=0,IF(ISERROR(SEARCH(",?",Q4)),0,1)=0)</formula1>
    </dataValidation>
  </dataValidations>
  <pageMargins left="0.7" right="0.7" top="0.75" bottom="0.75" header="0.3" footer="0.3"/>
  <pageSetup paperSize="9" scale="76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DAF8FE"/>
    <pageSetUpPr fitToPage="1"/>
  </sheetPr>
  <dimension ref="A1:Q31"/>
  <sheetViews>
    <sheetView zoomScale="55" zoomScaleNormal="55" workbookViewId="0">
      <selection activeCell="E32" sqref="E32"/>
    </sheetView>
  </sheetViews>
  <sheetFormatPr defaultColWidth="9.140625" defaultRowHeight="15.75" x14ac:dyDescent="0.25"/>
  <cols>
    <col min="1" max="1" width="10.140625" style="98" customWidth="1"/>
    <col min="2" max="2" width="46.5703125" style="98" customWidth="1"/>
    <col min="3" max="5" width="9.140625" style="98"/>
    <col min="6" max="7" width="12.5703125" style="98" customWidth="1"/>
    <col min="8" max="8" width="13.7109375" style="98" customWidth="1"/>
    <col min="9" max="13" width="12.5703125" style="98" customWidth="1"/>
    <col min="14" max="16384" width="9.140625" style="98"/>
  </cols>
  <sheetData>
    <row r="1" spans="1:15" x14ac:dyDescent="0.25">
      <c r="A1" s="158" t="b">
        <f>AND('Титульный лист'!$D$14&lt;&gt;"",'Титульный лист'!$C$22&lt;&gt;"",'Титульный лист'!$B$29&lt;&gt;"",'Титульный лист'!$B$30&lt;&gt;"",'Титульный лист'!$B$31&lt;&gt;"",'Титульный лист'!$B$32&lt;&gt;"",'Титульный лист'!$B$33&lt;&gt;"")</f>
        <v>1</v>
      </c>
      <c r="B1"/>
      <c r="C1"/>
      <c r="D1"/>
      <c r="E1"/>
      <c r="F1"/>
      <c r="G1"/>
      <c r="H1"/>
      <c r="I1"/>
      <c r="J1"/>
      <c r="K1"/>
      <c r="L1"/>
      <c r="M1"/>
    </row>
    <row r="2" spans="1:15" ht="58.5" customHeight="1" x14ac:dyDescent="0.25">
      <c r="B2" s="861" t="s">
        <v>123</v>
      </c>
      <c r="C2" s="861"/>
      <c r="D2" s="861"/>
      <c r="E2" s="861"/>
      <c r="F2" s="861"/>
      <c r="G2" s="861"/>
      <c r="H2" s="861"/>
      <c r="I2" s="861"/>
      <c r="J2" s="861"/>
      <c r="K2" s="861"/>
      <c r="L2" s="861"/>
      <c r="M2" s="861"/>
      <c r="N2" s="133"/>
      <c r="O2" s="133"/>
    </row>
    <row r="3" spans="1:15" ht="19.5" thickBot="1" x14ac:dyDescent="0.3">
      <c r="B3" s="134" t="s">
        <v>163</v>
      </c>
      <c r="J3" s="98" t="s">
        <v>318</v>
      </c>
    </row>
    <row r="4" spans="1:15" ht="37.5" customHeight="1" thickBot="1" x14ac:dyDescent="0.3">
      <c r="A4" s="135"/>
      <c r="B4" s="847" t="s">
        <v>124</v>
      </c>
      <c r="C4" s="847" t="s">
        <v>125</v>
      </c>
      <c r="D4" s="847" t="s">
        <v>159</v>
      </c>
      <c r="E4" s="862" t="s">
        <v>162</v>
      </c>
      <c r="F4" s="863"/>
      <c r="G4" s="864"/>
      <c r="H4" s="862" t="s">
        <v>160</v>
      </c>
      <c r="I4" s="863"/>
      <c r="J4" s="864"/>
      <c r="K4" s="862" t="s">
        <v>161</v>
      </c>
      <c r="L4" s="863"/>
      <c r="M4" s="864"/>
    </row>
    <row r="5" spans="1:15" ht="87.75" customHeight="1" thickBot="1" x14ac:dyDescent="0.3">
      <c r="A5" s="136"/>
      <c r="B5" s="865"/>
      <c r="C5" s="865"/>
      <c r="D5" s="865"/>
      <c r="E5" s="461" t="s">
        <v>45</v>
      </c>
      <c r="F5" s="71" t="s">
        <v>126</v>
      </c>
      <c r="G5" s="71" t="s">
        <v>127</v>
      </c>
      <c r="H5" s="137" t="s">
        <v>45</v>
      </c>
      <c r="I5" s="460" t="s">
        <v>126</v>
      </c>
      <c r="J5" s="460" t="s">
        <v>127</v>
      </c>
      <c r="K5" s="137" t="s">
        <v>45</v>
      </c>
      <c r="L5" s="460" t="s">
        <v>126</v>
      </c>
      <c r="M5" s="95" t="s">
        <v>127</v>
      </c>
    </row>
    <row r="6" spans="1:15" ht="16.5" thickBot="1" x14ac:dyDescent="0.3">
      <c r="A6" s="136"/>
      <c r="B6" s="70">
        <v>1</v>
      </c>
      <c r="C6" s="70">
        <v>2</v>
      </c>
      <c r="D6" s="70">
        <v>3</v>
      </c>
      <c r="E6" s="70">
        <v>4</v>
      </c>
      <c r="F6" s="70">
        <v>5</v>
      </c>
      <c r="G6" s="70">
        <v>6</v>
      </c>
      <c r="H6" s="70">
        <v>7</v>
      </c>
      <c r="I6" s="70">
        <v>8</v>
      </c>
      <c r="J6" s="70">
        <v>9</v>
      </c>
      <c r="K6" s="70">
        <v>10</v>
      </c>
      <c r="L6" s="70">
        <v>11</v>
      </c>
      <c r="M6" s="459">
        <v>12</v>
      </c>
    </row>
    <row r="7" spans="1:15" ht="19.5" thickBot="1" x14ac:dyDescent="0.3">
      <c r="A7" s="860"/>
      <c r="B7" s="138" t="s">
        <v>128</v>
      </c>
      <c r="C7" s="467" t="s">
        <v>129</v>
      </c>
      <c r="D7" s="139">
        <v>1</v>
      </c>
      <c r="E7" s="181">
        <f>SUM(H7+K7)</f>
        <v>113</v>
      </c>
      <c r="F7" s="181">
        <f>SUM(I7+L7)</f>
        <v>21</v>
      </c>
      <c r="G7" s="181">
        <f>SUM(J7+M7)</f>
        <v>92</v>
      </c>
      <c r="H7" s="153">
        <v>36</v>
      </c>
      <c r="I7" s="153">
        <v>15</v>
      </c>
      <c r="J7" s="153">
        <v>21</v>
      </c>
      <c r="K7" s="153">
        <v>77</v>
      </c>
      <c r="L7" s="153">
        <v>6</v>
      </c>
      <c r="M7" s="156">
        <v>71</v>
      </c>
    </row>
    <row r="8" spans="1:15" ht="19.5" thickBot="1" x14ac:dyDescent="0.3">
      <c r="A8" s="860"/>
      <c r="B8" s="138" t="s">
        <v>130</v>
      </c>
      <c r="C8" s="468" t="s">
        <v>131</v>
      </c>
      <c r="D8" s="140">
        <v>2</v>
      </c>
      <c r="E8" s="181">
        <f t="shared" ref="E8:E24" si="0">SUM(H8+K8)</f>
        <v>64</v>
      </c>
      <c r="F8" s="181">
        <f t="shared" ref="F8:F24" si="1">SUM(I8+L8)</f>
        <v>7</v>
      </c>
      <c r="G8" s="181">
        <f t="shared" ref="G8:G24" si="2">SUM(J8+M8)</f>
        <v>57</v>
      </c>
      <c r="H8" s="153">
        <v>13</v>
      </c>
      <c r="I8" s="153">
        <v>4</v>
      </c>
      <c r="J8" s="153">
        <v>9</v>
      </c>
      <c r="K8" s="153">
        <v>51</v>
      </c>
      <c r="L8" s="153">
        <v>3</v>
      </c>
      <c r="M8" s="156">
        <v>48</v>
      </c>
    </row>
    <row r="9" spans="1:15" ht="19.5" thickBot="1" x14ac:dyDescent="0.3">
      <c r="A9" s="860"/>
      <c r="B9" s="138" t="s">
        <v>132</v>
      </c>
      <c r="C9" s="469" t="s">
        <v>133</v>
      </c>
      <c r="D9" s="141">
        <v>3</v>
      </c>
      <c r="E9" s="181">
        <f t="shared" si="0"/>
        <v>119</v>
      </c>
      <c r="F9" s="181">
        <f t="shared" si="1"/>
        <v>69</v>
      </c>
      <c r="G9" s="181">
        <f t="shared" si="2"/>
        <v>50</v>
      </c>
      <c r="H9" s="153">
        <v>101</v>
      </c>
      <c r="I9" s="153">
        <v>56</v>
      </c>
      <c r="J9" s="153">
        <v>45</v>
      </c>
      <c r="K9" s="153">
        <v>18</v>
      </c>
      <c r="L9" s="153">
        <v>13</v>
      </c>
      <c r="M9" s="156">
        <v>5</v>
      </c>
    </row>
    <row r="10" spans="1:15" ht="19.5" thickBot="1" x14ac:dyDescent="0.3">
      <c r="A10" s="860"/>
      <c r="B10" s="138" t="s">
        <v>134</v>
      </c>
      <c r="C10" s="467" t="s">
        <v>135</v>
      </c>
      <c r="D10" s="139">
        <v>4</v>
      </c>
      <c r="E10" s="181">
        <f t="shared" si="0"/>
        <v>858</v>
      </c>
      <c r="F10" s="181">
        <f t="shared" si="1"/>
        <v>335</v>
      </c>
      <c r="G10" s="181">
        <f t="shared" si="2"/>
        <v>523</v>
      </c>
      <c r="H10" s="153">
        <v>336</v>
      </c>
      <c r="I10" s="153">
        <v>206</v>
      </c>
      <c r="J10" s="153">
        <v>130</v>
      </c>
      <c r="K10" s="153">
        <v>522</v>
      </c>
      <c r="L10" s="153">
        <v>129</v>
      </c>
      <c r="M10" s="156">
        <v>393</v>
      </c>
    </row>
    <row r="11" spans="1:15" ht="19.5" thickBot="1" x14ac:dyDescent="0.3">
      <c r="A11" s="860"/>
      <c r="B11" s="138" t="s">
        <v>136</v>
      </c>
      <c r="C11" s="467" t="s">
        <v>137</v>
      </c>
      <c r="D11" s="139">
        <v>5</v>
      </c>
      <c r="E11" s="181">
        <f t="shared" si="0"/>
        <v>511</v>
      </c>
      <c r="F11" s="181">
        <f t="shared" si="1"/>
        <v>286</v>
      </c>
      <c r="G11" s="181">
        <f t="shared" si="2"/>
        <v>225</v>
      </c>
      <c r="H11" s="153">
        <v>275</v>
      </c>
      <c r="I11" s="153">
        <v>202</v>
      </c>
      <c r="J11" s="153">
        <v>73</v>
      </c>
      <c r="K11" s="153">
        <v>236</v>
      </c>
      <c r="L11" s="153">
        <v>84</v>
      </c>
      <c r="M11" s="156">
        <v>152</v>
      </c>
    </row>
    <row r="12" spans="1:15" ht="19.5" thickBot="1" x14ac:dyDescent="0.3">
      <c r="A12" s="860"/>
      <c r="B12" s="138" t="s">
        <v>138</v>
      </c>
      <c r="C12" s="467" t="s">
        <v>139</v>
      </c>
      <c r="D12" s="139">
        <v>6</v>
      </c>
      <c r="E12" s="181">
        <f t="shared" si="0"/>
        <v>536</v>
      </c>
      <c r="F12" s="181">
        <f t="shared" si="1"/>
        <v>194</v>
      </c>
      <c r="G12" s="181">
        <f t="shared" si="2"/>
        <v>342</v>
      </c>
      <c r="H12" s="153">
        <v>170</v>
      </c>
      <c r="I12" s="153">
        <v>98</v>
      </c>
      <c r="J12" s="153">
        <v>72</v>
      </c>
      <c r="K12" s="153">
        <v>366</v>
      </c>
      <c r="L12" s="153">
        <v>96</v>
      </c>
      <c r="M12" s="156">
        <v>270</v>
      </c>
    </row>
    <row r="13" spans="1:15" ht="19.5" thickBot="1" x14ac:dyDescent="0.3">
      <c r="A13" s="860"/>
      <c r="B13" s="138" t="s">
        <v>140</v>
      </c>
      <c r="C13" s="467" t="s">
        <v>141</v>
      </c>
      <c r="D13" s="139">
        <v>7</v>
      </c>
      <c r="E13" s="181">
        <f t="shared" si="0"/>
        <v>255</v>
      </c>
      <c r="F13" s="181">
        <f t="shared" si="1"/>
        <v>106</v>
      </c>
      <c r="G13" s="181">
        <f t="shared" si="2"/>
        <v>149</v>
      </c>
      <c r="H13" s="153">
        <v>98</v>
      </c>
      <c r="I13" s="153">
        <v>69</v>
      </c>
      <c r="J13" s="153">
        <v>29</v>
      </c>
      <c r="K13" s="153">
        <v>157</v>
      </c>
      <c r="L13" s="153">
        <v>37</v>
      </c>
      <c r="M13" s="156">
        <v>120</v>
      </c>
    </row>
    <row r="14" spans="1:15" ht="38.25" thickBot="1" x14ac:dyDescent="0.3">
      <c r="A14" s="860"/>
      <c r="B14" s="138" t="s">
        <v>142</v>
      </c>
      <c r="C14" s="467" t="s">
        <v>143</v>
      </c>
      <c r="D14" s="139">
        <v>8</v>
      </c>
      <c r="E14" s="181">
        <f t="shared" si="0"/>
        <v>25</v>
      </c>
      <c r="F14" s="181">
        <f t="shared" si="1"/>
        <v>14</v>
      </c>
      <c r="G14" s="181">
        <f t="shared" si="2"/>
        <v>11</v>
      </c>
      <c r="H14" s="153">
        <v>23</v>
      </c>
      <c r="I14" s="153">
        <v>13</v>
      </c>
      <c r="J14" s="153">
        <v>10</v>
      </c>
      <c r="K14" s="153">
        <v>2</v>
      </c>
      <c r="L14" s="153">
        <v>1</v>
      </c>
      <c r="M14" s="156">
        <v>1</v>
      </c>
    </row>
    <row r="15" spans="1:15" ht="57" thickBot="1" x14ac:dyDescent="0.3">
      <c r="A15" s="860"/>
      <c r="B15" s="138" t="s">
        <v>144</v>
      </c>
      <c r="C15" s="467" t="s">
        <v>145</v>
      </c>
      <c r="D15" s="139">
        <v>9</v>
      </c>
      <c r="E15" s="181">
        <f t="shared" si="0"/>
        <v>0</v>
      </c>
      <c r="F15" s="181">
        <f t="shared" si="1"/>
        <v>0</v>
      </c>
      <c r="G15" s="181">
        <f t="shared" si="2"/>
        <v>0</v>
      </c>
      <c r="H15" s="153"/>
      <c r="I15" s="153"/>
      <c r="J15" s="153"/>
      <c r="K15" s="153"/>
      <c r="L15" s="153"/>
      <c r="M15" s="156"/>
    </row>
    <row r="16" spans="1:15" ht="36" customHeight="1" thickBot="1" x14ac:dyDescent="0.3">
      <c r="A16" s="860"/>
      <c r="B16" s="142" t="s">
        <v>407</v>
      </c>
      <c r="C16" s="467" t="s">
        <v>146</v>
      </c>
      <c r="D16" s="139">
        <v>10</v>
      </c>
      <c r="E16" s="181">
        <f t="shared" si="0"/>
        <v>115</v>
      </c>
      <c r="F16" s="181">
        <f t="shared" si="1"/>
        <v>65</v>
      </c>
      <c r="G16" s="181">
        <f t="shared" si="2"/>
        <v>50</v>
      </c>
      <c r="H16" s="153">
        <v>58</v>
      </c>
      <c r="I16" s="153">
        <v>45</v>
      </c>
      <c r="J16" s="153">
        <v>13</v>
      </c>
      <c r="K16" s="153">
        <v>57</v>
      </c>
      <c r="L16" s="153">
        <v>20</v>
      </c>
      <c r="M16" s="156">
        <v>37</v>
      </c>
    </row>
    <row r="17" spans="1:17" ht="46.5" customHeight="1" thickBot="1" x14ac:dyDescent="0.3">
      <c r="A17" s="860"/>
      <c r="B17" s="142" t="s">
        <v>408</v>
      </c>
      <c r="C17" s="467" t="s">
        <v>147</v>
      </c>
      <c r="D17" s="139">
        <v>11</v>
      </c>
      <c r="E17" s="181">
        <f t="shared" si="0"/>
        <v>0</v>
      </c>
      <c r="F17" s="181">
        <f t="shared" si="1"/>
        <v>0</v>
      </c>
      <c r="G17" s="181">
        <f t="shared" si="2"/>
        <v>0</v>
      </c>
      <c r="H17" s="153"/>
      <c r="I17" s="153"/>
      <c r="J17" s="153"/>
      <c r="K17" s="153"/>
      <c r="L17" s="153"/>
      <c r="M17" s="156"/>
    </row>
    <row r="18" spans="1:17" ht="36" customHeight="1" thickBot="1" x14ac:dyDescent="0.3">
      <c r="A18" s="860"/>
      <c r="B18" s="142" t="s">
        <v>409</v>
      </c>
      <c r="C18" s="467" t="s">
        <v>148</v>
      </c>
      <c r="D18" s="139">
        <v>12</v>
      </c>
      <c r="E18" s="181">
        <f t="shared" si="0"/>
        <v>0</v>
      </c>
      <c r="F18" s="181">
        <f t="shared" si="1"/>
        <v>0</v>
      </c>
      <c r="G18" s="181">
        <f t="shared" si="2"/>
        <v>0</v>
      </c>
      <c r="H18" s="153"/>
      <c r="I18" s="153"/>
      <c r="J18" s="153"/>
      <c r="K18" s="153"/>
      <c r="L18" s="153"/>
      <c r="M18" s="156"/>
    </row>
    <row r="19" spans="1:17" ht="45.75" customHeight="1" thickBot="1" x14ac:dyDescent="0.3">
      <c r="A19" s="860"/>
      <c r="B19" s="143" t="s">
        <v>410</v>
      </c>
      <c r="C19" s="467" t="s">
        <v>149</v>
      </c>
      <c r="D19" s="139">
        <v>13</v>
      </c>
      <c r="E19" s="181">
        <f t="shared" si="0"/>
        <v>53</v>
      </c>
      <c r="F19" s="181">
        <f t="shared" si="1"/>
        <v>27</v>
      </c>
      <c r="G19" s="181">
        <f t="shared" si="2"/>
        <v>26</v>
      </c>
      <c r="H19" s="153">
        <v>19</v>
      </c>
      <c r="I19" s="153">
        <v>14</v>
      </c>
      <c r="J19" s="153">
        <v>5</v>
      </c>
      <c r="K19" s="153">
        <v>34</v>
      </c>
      <c r="L19" s="153">
        <v>13</v>
      </c>
      <c r="M19" s="156">
        <v>21</v>
      </c>
    </row>
    <row r="20" spans="1:17" ht="57" thickBot="1" x14ac:dyDescent="0.3">
      <c r="A20" s="860"/>
      <c r="B20" s="138" t="s">
        <v>150</v>
      </c>
      <c r="C20" s="467" t="s">
        <v>151</v>
      </c>
      <c r="D20" s="139">
        <v>14</v>
      </c>
      <c r="E20" s="181">
        <f t="shared" si="0"/>
        <v>1</v>
      </c>
      <c r="F20" s="181">
        <f t="shared" si="1"/>
        <v>0</v>
      </c>
      <c r="G20" s="181">
        <f t="shared" si="2"/>
        <v>1</v>
      </c>
      <c r="H20" s="153">
        <v>1</v>
      </c>
      <c r="I20" s="153"/>
      <c r="J20" s="153">
        <v>1</v>
      </c>
      <c r="K20" s="153"/>
      <c r="L20" s="153"/>
      <c r="M20" s="156"/>
    </row>
    <row r="21" spans="1:17" ht="38.25" thickBot="1" x14ac:dyDescent="0.3">
      <c r="A21" s="860"/>
      <c r="B21" s="138" t="s">
        <v>152</v>
      </c>
      <c r="C21" s="468" t="s">
        <v>153</v>
      </c>
      <c r="D21" s="140">
        <v>15</v>
      </c>
      <c r="E21" s="182">
        <f t="shared" si="0"/>
        <v>25</v>
      </c>
      <c r="F21" s="182">
        <f t="shared" si="1"/>
        <v>18</v>
      </c>
      <c r="G21" s="182">
        <f t="shared" si="2"/>
        <v>7</v>
      </c>
      <c r="H21" s="153">
        <v>12</v>
      </c>
      <c r="I21" s="153">
        <v>10</v>
      </c>
      <c r="J21" s="153">
        <v>2</v>
      </c>
      <c r="K21" s="153">
        <v>13</v>
      </c>
      <c r="L21" s="153">
        <v>8</v>
      </c>
      <c r="M21" s="156">
        <v>5</v>
      </c>
    </row>
    <row r="22" spans="1:17" ht="57" thickBot="1" x14ac:dyDescent="0.3">
      <c r="A22" s="860"/>
      <c r="B22" s="144" t="s">
        <v>154</v>
      </c>
      <c r="C22" s="469" t="s">
        <v>155</v>
      </c>
      <c r="D22" s="141">
        <v>16</v>
      </c>
      <c r="E22" s="183">
        <f t="shared" si="0"/>
        <v>131</v>
      </c>
      <c r="F22" s="183">
        <f t="shared" si="1"/>
        <v>79</v>
      </c>
      <c r="G22" s="183">
        <f t="shared" si="2"/>
        <v>52</v>
      </c>
      <c r="H22" s="153">
        <v>78</v>
      </c>
      <c r="I22" s="153">
        <v>62</v>
      </c>
      <c r="J22" s="153">
        <v>16</v>
      </c>
      <c r="K22" s="153">
        <v>53</v>
      </c>
      <c r="L22" s="153">
        <v>17</v>
      </c>
      <c r="M22" s="156">
        <v>36</v>
      </c>
    </row>
    <row r="23" spans="1:17" ht="36.75" customHeight="1" thickBot="1" x14ac:dyDescent="0.3">
      <c r="A23" s="860"/>
      <c r="B23" s="138" t="s">
        <v>156</v>
      </c>
      <c r="C23" s="467" t="s">
        <v>155</v>
      </c>
      <c r="D23" s="139">
        <v>17</v>
      </c>
      <c r="E23" s="181">
        <f t="shared" si="0"/>
        <v>207</v>
      </c>
      <c r="F23" s="181">
        <f t="shared" si="1"/>
        <v>207</v>
      </c>
      <c r="G23" s="181">
        <f t="shared" si="2"/>
        <v>0</v>
      </c>
      <c r="H23" s="153">
        <v>131</v>
      </c>
      <c r="I23" s="153">
        <v>131</v>
      </c>
      <c r="J23" s="153"/>
      <c r="K23" s="153">
        <v>76</v>
      </c>
      <c r="L23" s="153">
        <v>76</v>
      </c>
      <c r="M23" s="156"/>
    </row>
    <row r="24" spans="1:17" ht="19.5" thickBot="1" x14ac:dyDescent="0.3">
      <c r="A24" s="145"/>
      <c r="B24" s="138" t="s">
        <v>157</v>
      </c>
      <c r="C24" s="468" t="s">
        <v>158</v>
      </c>
      <c r="D24" s="140">
        <v>18</v>
      </c>
      <c r="E24" s="182">
        <f t="shared" si="0"/>
        <v>0</v>
      </c>
      <c r="F24" s="182">
        <f t="shared" si="1"/>
        <v>0</v>
      </c>
      <c r="G24" s="184">
        <f t="shared" si="2"/>
        <v>0</v>
      </c>
      <c r="H24" s="153"/>
      <c r="I24" s="153"/>
      <c r="J24" s="153"/>
      <c r="K24" s="153"/>
      <c r="L24" s="153"/>
      <c r="M24" s="156"/>
    </row>
    <row r="26" spans="1:17" ht="19.5" thickBot="1" x14ac:dyDescent="0.3">
      <c r="B26" s="134" t="s">
        <v>165</v>
      </c>
    </row>
    <row r="27" spans="1:17" ht="21" thickBot="1" x14ac:dyDescent="0.35">
      <c r="B27" s="146" t="s">
        <v>164</v>
      </c>
      <c r="I27" s="443"/>
      <c r="J27" s="105" t="s">
        <v>51</v>
      </c>
    </row>
    <row r="28" spans="1:17" ht="16.5" thickBot="1" x14ac:dyDescent="0.3"/>
    <row r="29" spans="1:17" ht="62.25" customHeight="1" thickBot="1" x14ac:dyDescent="0.3">
      <c r="B29" s="730" t="s">
        <v>825</v>
      </c>
      <c r="C29" s="728"/>
      <c r="D29" s="728"/>
      <c r="E29" s="182">
        <f>SUM(E7:E11)+SUM(E13:E15)+SUM(E24)</f>
        <v>1945</v>
      </c>
      <c r="F29" s="182">
        <f>SUM(F7:F11)+SUM(F13:F15)+SUM(F24)</f>
        <v>838</v>
      </c>
      <c r="G29" s="184">
        <f>SUM(G7:G11)+SUM(G13:G15)+SUM(G24)</f>
        <v>1107</v>
      </c>
      <c r="O29" s="854" t="s">
        <v>826</v>
      </c>
      <c r="P29" s="855"/>
      <c r="Q29" s="729"/>
    </row>
    <row r="30" spans="1:17" ht="16.5" customHeight="1" thickBot="1" x14ac:dyDescent="0.3">
      <c r="B30" s="731"/>
      <c r="C30" s="728"/>
      <c r="D30" s="728"/>
      <c r="O30" s="856"/>
      <c r="P30" s="857"/>
      <c r="Q30" s="729"/>
    </row>
    <row r="31" spans="1:17" ht="19.5" customHeight="1" thickBot="1" x14ac:dyDescent="0.3">
      <c r="B31" s="730" t="s">
        <v>820</v>
      </c>
      <c r="C31" s="728"/>
      <c r="D31" s="728"/>
      <c r="E31" s="156">
        <v>505</v>
      </c>
      <c r="O31" s="858"/>
      <c r="P31" s="859"/>
      <c r="Q31" s="729"/>
    </row>
  </sheetData>
  <sheetProtection password="DB70" sheet="1" objects="1" scenarios="1" autoFilter="0"/>
  <mergeCells count="9">
    <mergeCell ref="O29:P31"/>
    <mergeCell ref="A7:A23"/>
    <mergeCell ref="B2:M2"/>
    <mergeCell ref="H4:J4"/>
    <mergeCell ref="K4:M4"/>
    <mergeCell ref="B4:B5"/>
    <mergeCell ref="C4:C5"/>
    <mergeCell ref="D4:D5"/>
    <mergeCell ref="E4:G4"/>
  </mergeCells>
  <dataValidations count="1"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I27 H7:M24 E31">
      <formula1>AND($A$1=TRUE,ISNUMBER(E7),E7&gt;=0,IF(ISERROR(SEARCH(",?",E7)),0,1)=0)</formula1>
    </dataValidation>
  </dataValidations>
  <hyperlinks>
    <hyperlink ref="J3" r:id="rId1" display="http://ivo.garant.ru/document/redirect/179222/792"/>
  </hyperlinks>
  <pageMargins left="0.70866141732283472" right="0.70866141732283472" top="0.74803149606299213" bottom="0.74803149606299213" header="0.31496062992125984" footer="0.31496062992125984"/>
  <pageSetup paperSize="9" scale="49" orientation="landscape" horizontalDpi="4294967295" verticalDpi="4294967295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9" tint="0.59999389629810485"/>
    <pageSetUpPr fitToPage="1"/>
  </sheetPr>
  <dimension ref="A1:DG84"/>
  <sheetViews>
    <sheetView zoomScale="55" zoomScaleNormal="55" workbookViewId="0">
      <pane ySplit="6" topLeftCell="A7" activePane="bottomLeft" state="frozenSplit"/>
      <selection pane="bottomLeft" activeCell="H27" sqref="H27"/>
    </sheetView>
  </sheetViews>
  <sheetFormatPr defaultRowHeight="15.75" x14ac:dyDescent="0.25"/>
  <cols>
    <col min="2" max="2" width="43.140625" style="26" customWidth="1"/>
    <col min="3" max="3" width="9.42578125" customWidth="1"/>
    <col min="4" max="4" width="12.85546875" customWidth="1"/>
    <col min="15" max="15" width="41.140625" customWidth="1"/>
    <col min="16" max="17" width="9.140625" hidden="1" customWidth="1"/>
    <col min="18" max="18" width="45.7109375" hidden="1" customWidth="1"/>
    <col min="19" max="90" width="9.140625" hidden="1" customWidth="1"/>
  </cols>
  <sheetData>
    <row r="1" spans="1:111" s="5" customFormat="1" ht="48" customHeight="1" x14ac:dyDescent="0.25">
      <c r="A1" s="158" t="b">
        <f>AND('Титульный лист'!$D$14&lt;&gt;"",'Титульный лист'!$C$22&lt;&gt;"",'Титульный лист'!$B$29&lt;&gt;"",'Титульный лист'!$B$30&lt;&gt;"",'Титульный лист'!$B$31&lt;&gt;"",'Титульный лист'!$B$32&lt;&gt;"",'Титульный лист'!$B$33&lt;&gt;"")</f>
        <v>1</v>
      </c>
      <c r="B1" s="871" t="s">
        <v>166</v>
      </c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</row>
    <row r="2" spans="1:111" s="5" customFormat="1" ht="16.5" thickBot="1" x14ac:dyDescent="0.3">
      <c r="B2" s="21" t="s">
        <v>167</v>
      </c>
      <c r="K2" s="5" t="s">
        <v>319</v>
      </c>
    </row>
    <row r="3" spans="1:111" s="5" customFormat="1" ht="32.25" customHeight="1" thickBot="1" x14ac:dyDescent="0.3">
      <c r="B3" s="872" t="s">
        <v>168</v>
      </c>
      <c r="C3" s="872" t="s">
        <v>159</v>
      </c>
      <c r="D3" s="875" t="s">
        <v>169</v>
      </c>
      <c r="E3" s="867" t="s">
        <v>170</v>
      </c>
      <c r="F3" s="878"/>
      <c r="G3" s="878"/>
      <c r="H3" s="868"/>
      <c r="I3" s="867" t="s">
        <v>171</v>
      </c>
      <c r="J3" s="878"/>
      <c r="K3" s="878"/>
      <c r="L3" s="878"/>
      <c r="M3" s="878"/>
      <c r="N3" s="868"/>
    </row>
    <row r="4" spans="1:111" s="5" customFormat="1" ht="47.25" customHeight="1" thickBot="1" x14ac:dyDescent="0.3">
      <c r="B4" s="873"/>
      <c r="C4" s="873"/>
      <c r="D4" s="876"/>
      <c r="E4" s="869" t="s">
        <v>172</v>
      </c>
      <c r="F4" s="870"/>
      <c r="G4" s="867" t="s">
        <v>32</v>
      </c>
      <c r="H4" s="868"/>
      <c r="I4" s="867" t="s">
        <v>172</v>
      </c>
      <c r="J4" s="868"/>
      <c r="K4" s="867" t="s">
        <v>126</v>
      </c>
      <c r="L4" s="868"/>
      <c r="M4" s="867" t="s">
        <v>127</v>
      </c>
      <c r="N4" s="868"/>
      <c r="O4"/>
    </row>
    <row r="5" spans="1:111" s="5" customFormat="1" ht="113.25" customHeight="1" thickBot="1" x14ac:dyDescent="0.4">
      <c r="B5" s="874"/>
      <c r="C5" s="874"/>
      <c r="D5" s="877"/>
      <c r="E5" s="42" t="s">
        <v>172</v>
      </c>
      <c r="F5" s="1" t="s">
        <v>173</v>
      </c>
      <c r="G5" s="42" t="s">
        <v>174</v>
      </c>
      <c r="H5" s="42" t="s">
        <v>175</v>
      </c>
      <c r="I5" s="42" t="s">
        <v>172</v>
      </c>
      <c r="J5" s="42" t="s">
        <v>173</v>
      </c>
      <c r="K5" s="42" t="s">
        <v>172</v>
      </c>
      <c r="L5" s="42" t="s">
        <v>173</v>
      </c>
      <c r="M5" s="42" t="s">
        <v>172</v>
      </c>
      <c r="N5" s="41" t="s">
        <v>173</v>
      </c>
      <c r="O5" s="44" t="s">
        <v>411</v>
      </c>
      <c r="P5" s="413" t="s">
        <v>468</v>
      </c>
    </row>
    <row r="6" spans="1:111" s="5" customFormat="1" ht="16.5" customHeight="1" thickBot="1" x14ac:dyDescent="0.3">
      <c r="B6" s="43">
        <v>1</v>
      </c>
      <c r="C6" s="43">
        <v>2</v>
      </c>
      <c r="D6" s="43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1">
        <v>13</v>
      </c>
      <c r="O6"/>
    </row>
    <row r="7" spans="1:111" ht="32.25" thickBot="1" x14ac:dyDescent="0.3">
      <c r="B7" s="55" t="s">
        <v>332</v>
      </c>
      <c r="C7" s="56">
        <v>1</v>
      </c>
      <c r="D7" s="57" t="s">
        <v>333</v>
      </c>
      <c r="E7" s="92">
        <f>G7+H7</f>
        <v>3</v>
      </c>
      <c r="F7" s="151">
        <v>3</v>
      </c>
      <c r="G7" s="151">
        <v>2</v>
      </c>
      <c r="H7" s="151">
        <v>1</v>
      </c>
      <c r="I7" s="92">
        <f>K7+M7</f>
        <v>0</v>
      </c>
      <c r="J7" s="92">
        <f>L7+N7</f>
        <v>0</v>
      </c>
      <c r="K7" s="151"/>
      <c r="L7" s="151"/>
      <c r="M7" s="151"/>
      <c r="N7" s="151"/>
      <c r="O7" s="45" t="str">
        <f>IF(Q7&gt;0,"гр.4 &gt;= гр.8 по строке "&amp;P7,"ОК")</f>
        <v>ОК</v>
      </c>
      <c r="P7" s="415" t="str">
        <f>IF(Q7&gt;0,INDEX($C$7:$C$78,Q7,1),CHAR(151))</f>
        <v>—</v>
      </c>
      <c r="Q7" s="47">
        <f>IF(ISERROR(MATCH(FALSE,S7:CL7,0)),0,MATCH(FALSE,S7:CL7,0))</f>
        <v>0</v>
      </c>
      <c r="R7" s="414"/>
      <c r="S7" s="47" t="b">
        <f>IF(OR($E7&lt;&gt;0,$I7&lt;&gt;0),$E7&gt;=$I7,TRUE)</f>
        <v>1</v>
      </c>
      <c r="T7" s="47" t="b">
        <f>IF(OR($E8&lt;&gt;0,$I8&lt;&gt;0),$E8&gt;=$I8,TRUE)</f>
        <v>1</v>
      </c>
      <c r="U7" s="47" t="b">
        <f>IF(OR($E9&lt;&gt;0,$I9&lt;&gt;0),$E9&gt;=$I9,TRUE)</f>
        <v>1</v>
      </c>
      <c r="V7" s="47" t="b">
        <f>IF(OR($E10&lt;&gt;0,$I10&lt;&gt;0),$E10&gt;=$I10,TRUE)</f>
        <v>1</v>
      </c>
      <c r="W7" s="47" t="b">
        <f>IF(OR($E11&lt;&gt;0,$I11&lt;&gt;0),$E11&gt;=$I11,TRUE)</f>
        <v>1</v>
      </c>
      <c r="X7" s="47" t="b">
        <f>IF(OR($E12&lt;&gt;0,$I12&lt;&gt;0),$E12&gt;=$I12,TRUE)</f>
        <v>1</v>
      </c>
      <c r="Y7" s="47" t="b">
        <f>IF(OR($E13&lt;&gt;0,$I13&lt;&gt;0),$E13&gt;=$I13,TRUE)</f>
        <v>1</v>
      </c>
      <c r="Z7" s="47" t="b">
        <f>IF(OR($E14&lt;&gt;0,$I14&lt;&gt;0),$E14&gt;=$I14,TRUE)</f>
        <v>1</v>
      </c>
      <c r="AA7" s="47" t="b">
        <f>IF(OR($E15&lt;&gt;0,$I15&lt;&gt;0),$E15&gt;=$I15,TRUE)</f>
        <v>1</v>
      </c>
      <c r="AB7" s="47" t="b">
        <f>IF(OR($E16&lt;&gt;0,$I16&lt;&gt;0),$E16&gt;=$I16,TRUE)</f>
        <v>1</v>
      </c>
      <c r="AC7" s="47" t="b">
        <f>IF(OR($E17&lt;&gt;0,$I17&lt;&gt;0),$E17&gt;=$I17,TRUE)</f>
        <v>1</v>
      </c>
      <c r="AD7" s="47" t="b">
        <f>IF(OR($E18&lt;&gt;0,$I18&lt;&gt;0),$E18&gt;=$I18,TRUE)</f>
        <v>1</v>
      </c>
      <c r="AE7" s="47" t="b">
        <f>IF(OR($E19&lt;&gt;0,$I19&lt;&gt;0),$E19&gt;=$I19,TRUE)</f>
        <v>1</v>
      </c>
      <c r="AF7" s="47" t="b">
        <f>IF(OR($E20&lt;&gt;0,$I20&lt;&gt;0),$E20&gt;=$I20,TRUE)</f>
        <v>1</v>
      </c>
      <c r="AG7" s="47" t="b">
        <f>IF(OR($E21&lt;&gt;0,$I21&lt;&gt;0),$E21&gt;=$I21,TRUE)</f>
        <v>1</v>
      </c>
      <c r="AH7" s="47" t="b">
        <f>IF(OR($E22&lt;&gt;0,$I22&lt;&gt;0),$E22&gt;=$I22,TRUE)</f>
        <v>1</v>
      </c>
      <c r="AI7" s="47" t="b">
        <f>IF(OR($E23&lt;&gt;0,$I23&lt;&gt;0),$E23&gt;=$I23,TRUE)</f>
        <v>1</v>
      </c>
      <c r="AJ7" s="47" t="b">
        <f>IF(OR($E24&lt;&gt;0,$I24&lt;&gt;0),$E24&gt;=$I24,TRUE)</f>
        <v>1</v>
      </c>
      <c r="AK7" s="47" t="b">
        <f>IF(OR($E25&lt;&gt;0,$I25&lt;&gt;0),$E25&gt;=$I25,TRUE)</f>
        <v>1</v>
      </c>
      <c r="AL7" s="47" t="b">
        <f>IF(OR($E26&lt;&gt;0,$I26&lt;&gt;0),$E26&gt;=$I26,TRUE)</f>
        <v>1</v>
      </c>
      <c r="AM7" s="47" t="b">
        <f>IF(OR($E27&lt;&gt;0,$I27&lt;&gt;0),$E27&gt;=$I27,TRUE)</f>
        <v>1</v>
      </c>
      <c r="AN7" s="47" t="b">
        <f>IF(OR($E28&lt;&gt;0,$I28&lt;&gt;0),$E28&gt;=$I28,TRUE)</f>
        <v>1</v>
      </c>
      <c r="AO7" s="47" t="b">
        <f>IF(OR($E29&lt;&gt;0,$I29&lt;&gt;0),$E29&gt;=$I29,TRUE)</f>
        <v>1</v>
      </c>
      <c r="AP7" s="47" t="b">
        <f>IF(OR($E30&lt;&gt;0,$I30&lt;&gt;0),$E30&gt;=$I30,TRUE)</f>
        <v>1</v>
      </c>
      <c r="AQ7" s="47" t="b">
        <f>IF(OR($E31&lt;&gt;0,$I31&lt;&gt;0),$E31&gt;=$I31,TRUE)</f>
        <v>1</v>
      </c>
      <c r="AR7" s="47" t="b">
        <f>IF(OR($E32&lt;&gt;0,$I32&lt;&gt;0),$E32&gt;=$I32,TRUE)</f>
        <v>1</v>
      </c>
      <c r="AS7" s="47" t="b">
        <f>IF(OR($E33&lt;&gt;0,$I33&lt;&gt;0),$E33&gt;=$I33,TRUE)</f>
        <v>1</v>
      </c>
      <c r="AT7" s="47" t="b">
        <f>IF(OR($E34&lt;&gt;0,$I34&lt;&gt;0),$E34&gt;=$I34,TRUE)</f>
        <v>1</v>
      </c>
      <c r="AU7" s="47" t="b">
        <f>IF(OR($E35&lt;&gt;0,$I35&lt;&gt;0),$E35&gt;=$I35,TRUE)</f>
        <v>1</v>
      </c>
      <c r="AV7" s="47" t="b">
        <f>IF(OR($E36&lt;&gt;0,$I36&lt;&gt;0),$E36&gt;=$I36,TRUE)</f>
        <v>1</v>
      </c>
      <c r="AW7" s="47" t="b">
        <f>IF(OR($E37&lt;&gt;0,$I37&lt;&gt;0),$E37&gt;=$I37,TRUE)</f>
        <v>1</v>
      </c>
      <c r="AX7" s="47" t="b">
        <f>IF(OR($E38&lt;&gt;0,$I38&lt;&gt;0),$E38&gt;=$I38,TRUE)</f>
        <v>1</v>
      </c>
      <c r="AY7" s="47" t="b">
        <f>IF(OR($E39&lt;&gt;0,$I39&lt;&gt;0),$E39&gt;=$I39,TRUE)</f>
        <v>1</v>
      </c>
      <c r="AZ7" s="47" t="b">
        <f>IF(OR($E40&lt;&gt;0,$I40&lt;&gt;0),$E40&gt;=$I40,TRUE)</f>
        <v>1</v>
      </c>
      <c r="BA7" s="47" t="b">
        <f>IF(OR($E41&lt;&gt;0,$I41&lt;&gt;0),$E41&gt;=$I41,TRUE)</f>
        <v>1</v>
      </c>
      <c r="BB7" s="47" t="b">
        <f>IF(OR($E42&lt;&gt;0,$I42&lt;&gt;0),$E42&gt;=$I42,TRUE)</f>
        <v>1</v>
      </c>
      <c r="BC7" s="47" t="b">
        <f>IF(OR($E43&lt;&gt;0,$I43&lt;&gt;0),$E43&gt;=$I43,TRUE)</f>
        <v>1</v>
      </c>
      <c r="BD7" s="47" t="b">
        <f>IF(OR($E44&lt;&gt;0,$I44&lt;&gt;0),$E44&gt;=$I44,TRUE)</f>
        <v>1</v>
      </c>
      <c r="BE7" s="47" t="b">
        <f>IF(OR($E45&lt;&gt;0,$I45&lt;&gt;0),$E45&gt;=$I45,TRUE)</f>
        <v>1</v>
      </c>
      <c r="BF7" s="47" t="b">
        <f>IF(OR($E46&lt;&gt;0,$I46&lt;&gt;0),$E46&gt;=$I46,TRUE)</f>
        <v>1</v>
      </c>
      <c r="BG7" s="47" t="b">
        <f>IF(OR($E47&lt;&gt;0,$I47&lt;&gt;0),$E47&gt;=$I47,TRUE)</f>
        <v>1</v>
      </c>
      <c r="BH7" s="47" t="b">
        <f>IF(OR($E48&lt;&gt;0,$I48&lt;&gt;0),$E48&gt;=$I48,TRUE)</f>
        <v>1</v>
      </c>
      <c r="BI7" s="47" t="b">
        <f>IF(OR($E49&lt;&gt;0,$I49&lt;&gt;0),$E49&gt;=$I49,TRUE)</f>
        <v>1</v>
      </c>
      <c r="BJ7" s="47" t="b">
        <f>IF(OR($E50&lt;&gt;0,$I50&lt;&gt;0),$E50&gt;=$I50,TRUE)</f>
        <v>1</v>
      </c>
      <c r="BK7" s="47" t="b">
        <f>IF(OR($E51&lt;&gt;0,$I51&lt;&gt;0),$E51&gt;=$I51,TRUE)</f>
        <v>1</v>
      </c>
      <c r="BL7" s="47" t="b">
        <f>IF(OR($E52&lt;&gt;0,$I52&lt;&gt;0),$E52&gt;=$I52,TRUE)</f>
        <v>1</v>
      </c>
      <c r="BM7" s="47" t="b">
        <f>IF(OR($E53&lt;&gt;0,$I53&lt;&gt;0),$E53&gt;=$I53,TRUE)</f>
        <v>1</v>
      </c>
      <c r="BN7" s="47" t="b">
        <f>IF(OR($E54&lt;&gt;0,$I54&lt;&gt;0),$E54&gt;=$I54,TRUE)</f>
        <v>1</v>
      </c>
      <c r="BO7" s="47" t="b">
        <f>IF(OR($E55&lt;&gt;0,$I55&lt;&gt;0),$E55&gt;=$I55,TRUE)</f>
        <v>1</v>
      </c>
      <c r="BP7" s="47" t="b">
        <f>IF(OR($E56&lt;&gt;0,$I56&lt;&gt;0),$E56&gt;=$I56,TRUE)</f>
        <v>1</v>
      </c>
      <c r="BQ7" s="47" t="b">
        <f>IF(OR($E57&lt;&gt;0,$I57&lt;&gt;0),$E57&gt;=$I57,TRUE)</f>
        <v>1</v>
      </c>
      <c r="BR7" s="47" t="b">
        <f>IF(OR($E58&lt;&gt;0,$I58&lt;&gt;0),$E58&gt;=$I58,TRUE)</f>
        <v>1</v>
      </c>
      <c r="BS7" s="47" t="b">
        <f>IF(OR($E59&lt;&gt;0,$I59&lt;&gt;0),$E59&gt;=$I59,TRUE)</f>
        <v>1</v>
      </c>
      <c r="BT7" s="47" t="b">
        <f>IF(OR($E60&lt;&gt;0,$I60&lt;&gt;0),$E60&gt;=$I60,TRUE)</f>
        <v>1</v>
      </c>
      <c r="BU7" s="47" t="b">
        <f>IF(OR($E61&lt;&gt;0,$I61&lt;&gt;0),$E61&gt;=$I61,TRUE)</f>
        <v>1</v>
      </c>
      <c r="BV7" s="47" t="b">
        <f>IF(OR($E62&lt;&gt;0,$I62&lt;&gt;0),$E62&gt;=$I62,TRUE)</f>
        <v>1</v>
      </c>
      <c r="BW7" s="47" t="b">
        <f>IF(OR($E63&lt;&gt;0,$I63&lt;&gt;0),$E63&gt;=$I63,TRUE)</f>
        <v>1</v>
      </c>
      <c r="BX7" s="47" t="b">
        <f>IF(OR($E64&lt;&gt;0,$I64&lt;&gt;0),$E64&gt;=$I64,TRUE)</f>
        <v>1</v>
      </c>
      <c r="BY7" s="47" t="b">
        <f>IF(OR($E65&lt;&gt;0,$I65&lt;&gt;0),$E65&gt;=$I65,TRUE)</f>
        <v>1</v>
      </c>
      <c r="BZ7" s="47" t="b">
        <f>IF(OR($E66&lt;&gt;0,$I66&lt;&gt;0),$E66&gt;=$I66,TRUE)</f>
        <v>1</v>
      </c>
      <c r="CA7" s="47" t="b">
        <f>IF(OR($E67&lt;&gt;0,$I67&lt;&gt;0),$E67&gt;=$I67,TRUE)</f>
        <v>1</v>
      </c>
      <c r="CB7" s="47" t="b">
        <f>IF(OR($E68&lt;&gt;0,$I68&lt;&gt;0),$E68&gt;=$I68,TRUE)</f>
        <v>1</v>
      </c>
      <c r="CC7" s="47" t="b">
        <f>IF(OR($E69&lt;&gt;0,$I69&lt;&gt;0),$E69&gt;=$I69,TRUE)</f>
        <v>1</v>
      </c>
      <c r="CD7" s="47" t="b">
        <f>IF(OR($E70&lt;&gt;0,$I70&lt;&gt;0),$E70&gt;=$I70,TRUE)</f>
        <v>1</v>
      </c>
      <c r="CE7" s="47" t="b">
        <f>IF(OR($E71&lt;&gt;0,$I71&lt;&gt;0),$E71&gt;=$I71,TRUE)</f>
        <v>1</v>
      </c>
      <c r="CF7" s="47" t="b">
        <f>IF(OR($E72&lt;&gt;0,$I72&lt;&gt;0),$E72&gt;=$I72,TRUE)</f>
        <v>1</v>
      </c>
      <c r="CG7" s="47" t="b">
        <f>IF(OR($E73&lt;&gt;0,$I73&lt;&gt;0),$E73&gt;=$I73,TRUE)</f>
        <v>1</v>
      </c>
      <c r="CH7" s="47" t="b">
        <f>IF(OR($E74&lt;&gt;0,$I74&lt;&gt;0),$E74&gt;=$I74,TRUE)</f>
        <v>1</v>
      </c>
      <c r="CI7" s="47" t="b">
        <f>IF(OR($E75&lt;&gt;0,$I75&lt;&gt;0),$E75&gt;=$I75,TRUE)</f>
        <v>1</v>
      </c>
      <c r="CJ7" s="47" t="b">
        <f>IF(OR($E76&lt;&gt;0,$I76&lt;&gt;0),$E76&gt;=$I76,TRUE)</f>
        <v>1</v>
      </c>
      <c r="CK7" s="47" t="b">
        <f>IF(OR($E77&lt;&gt;0,$I77&lt;&gt;0),$E77&gt;=$I77,TRUE)</f>
        <v>1</v>
      </c>
      <c r="CL7" s="47" t="b">
        <f>IF(OR($E78&lt;&gt;0,$I78&lt;&gt;0),$E78&gt;=$I78,TRUE)</f>
        <v>1</v>
      </c>
    </row>
    <row r="8" spans="1:111" ht="16.5" customHeight="1" thickBot="1" x14ac:dyDescent="0.3">
      <c r="B8" s="58" t="s">
        <v>334</v>
      </c>
      <c r="C8" s="59" t="s">
        <v>335</v>
      </c>
      <c r="D8" s="60" t="s">
        <v>336</v>
      </c>
      <c r="E8" s="92">
        <f t="shared" ref="E8:E67" si="0">G8+H8</f>
        <v>1</v>
      </c>
      <c r="F8" s="151">
        <v>1</v>
      </c>
      <c r="G8" s="151">
        <v>1</v>
      </c>
      <c r="H8" s="151"/>
      <c r="I8" s="92">
        <f t="shared" ref="I8:J71" si="1">K8+M8</f>
        <v>0</v>
      </c>
      <c r="J8" s="92">
        <f t="shared" si="1"/>
        <v>0</v>
      </c>
      <c r="K8" s="151"/>
      <c r="L8" s="151"/>
      <c r="M8" s="151"/>
      <c r="N8" s="151"/>
      <c r="O8" s="45" t="str">
        <f>IF(Q8&gt;0,"гр.5 &gt;= гр.9 по строке "&amp;P8,"ОК")</f>
        <v>ОК</v>
      </c>
      <c r="P8" s="415" t="str">
        <f>IF(Q8&gt;0,INDEX($C$7:$C$78,Q8,1),CHAR(151))</f>
        <v>—</v>
      </c>
      <c r="Q8" s="47">
        <f>IF(ISERROR(MATCH(FALSE,S8:CL8,0)),0,MATCH(FALSE,S8:CL8,0))</f>
        <v>0</v>
      </c>
      <c r="R8" s="414"/>
      <c r="S8" s="47" t="b">
        <f>IF(OR($F7&lt;&gt;0,$J7&lt;&gt;0),$F7&gt;=$J7,TRUE)</f>
        <v>1</v>
      </c>
      <c r="T8" s="47" t="b">
        <f>IF(OR($F8&lt;&gt;0,$J8&lt;&gt;0),$F8&gt;=$J8,TRUE)</f>
        <v>1</v>
      </c>
      <c r="U8" s="47" t="b">
        <f>IF(OR($F9&lt;&gt;0,$J9&lt;&gt;0),$F9&gt;=$J9,TRUE)</f>
        <v>1</v>
      </c>
      <c r="V8" s="47" t="b">
        <f>IF(OR($F10&lt;&gt;0,$J10&lt;&gt;0),$F10&gt;=$J10,TRUE)</f>
        <v>1</v>
      </c>
      <c r="W8" s="47" t="b">
        <f>IF(OR($F11&lt;&gt;0,$J11&lt;&gt;0),$F11&gt;=$J11,TRUE)</f>
        <v>1</v>
      </c>
      <c r="X8" s="47" t="b">
        <f>IF(OR($F12&lt;&gt;0,$J12&lt;&gt;0),$F12&gt;=$J12,TRUE)</f>
        <v>1</v>
      </c>
      <c r="Y8" s="47" t="b">
        <f>IF(OR($F13&lt;&gt;0,$J13&lt;&gt;0),$F13&gt;=$J13,TRUE)</f>
        <v>1</v>
      </c>
      <c r="Z8" s="47" t="b">
        <f>IF(OR($F14&lt;&gt;0,$J14&lt;&gt;0),$F14&gt;=$J14,TRUE)</f>
        <v>1</v>
      </c>
      <c r="AA8" s="47" t="b">
        <f>IF(OR($F15&lt;&gt;0,$J15&lt;&gt;0),$F15&gt;=$J15,TRUE)</f>
        <v>1</v>
      </c>
      <c r="AB8" s="47" t="b">
        <f>IF(OR($F16&lt;&gt;0,$J16&lt;&gt;0),$F16&gt;=$J16,TRUE)</f>
        <v>1</v>
      </c>
      <c r="AC8" s="47" t="b">
        <f>IF(OR($F17&lt;&gt;0,$J17&lt;&gt;0),$F17&gt;=$J17,TRUE)</f>
        <v>1</v>
      </c>
      <c r="AD8" s="47" t="b">
        <f>IF(OR($F18&lt;&gt;0,$J18&lt;&gt;0),$F18&gt;=$J18,TRUE)</f>
        <v>1</v>
      </c>
      <c r="AE8" s="47" t="b">
        <f>IF(OR($F19&lt;&gt;0,$J19&lt;&gt;0),$F19&gt;=$J19,TRUE)</f>
        <v>1</v>
      </c>
      <c r="AF8" s="47" t="b">
        <f>IF(OR($F20&lt;&gt;0,$J20&lt;&gt;0),$F20&gt;=$J20,TRUE)</f>
        <v>1</v>
      </c>
      <c r="AG8" s="47" t="b">
        <f>IF(OR($F21&lt;&gt;0,$J21&lt;&gt;0),$F21&gt;=$J21,TRUE)</f>
        <v>1</v>
      </c>
      <c r="AH8" s="47" t="b">
        <f>IF(OR($F22&lt;&gt;0,$J22&lt;&gt;0),$F22&gt;=$J22,TRUE)</f>
        <v>1</v>
      </c>
      <c r="AI8" s="47" t="b">
        <f>IF(OR($F23&lt;&gt;0,$J23&lt;&gt;0),$F23&gt;=$J23,TRUE)</f>
        <v>1</v>
      </c>
      <c r="AJ8" s="47" t="b">
        <f>IF(OR($F24&lt;&gt;0,$J24&lt;&gt;0),$F24&gt;=$J24,TRUE)</f>
        <v>1</v>
      </c>
      <c r="AK8" s="47" t="b">
        <f>IF(OR($F25&lt;&gt;0,$J25&lt;&gt;0),$F25&gt;=$J25,TRUE)</f>
        <v>1</v>
      </c>
      <c r="AL8" s="47" t="b">
        <f>IF(OR($F26&lt;&gt;0,$J26&lt;&gt;0),$F26&gt;=$J26,TRUE)</f>
        <v>1</v>
      </c>
      <c r="AM8" s="47" t="b">
        <f>IF(OR($F27&lt;&gt;0,$J27&lt;&gt;0),$F27&gt;=$J27,TRUE)</f>
        <v>1</v>
      </c>
      <c r="AN8" s="47" t="b">
        <f>IF(OR($F28&lt;&gt;0,$J28&lt;&gt;0),$F28&gt;=$J28,TRUE)</f>
        <v>1</v>
      </c>
      <c r="AO8" s="47" t="b">
        <f>IF(OR($F29&lt;&gt;0,$J29&lt;&gt;0),$F29&gt;=$J29,TRUE)</f>
        <v>1</v>
      </c>
      <c r="AP8" s="47" t="b">
        <f>IF(OR($F30&lt;&gt;0,$J30&lt;&gt;0),$F30&gt;=$J30,TRUE)</f>
        <v>1</v>
      </c>
      <c r="AQ8" s="47" t="b">
        <f>IF(OR($F31&lt;&gt;0,$J31&lt;&gt;0),$F31&gt;=$J31,TRUE)</f>
        <v>1</v>
      </c>
      <c r="AR8" s="47" t="b">
        <f>IF(OR($F32&lt;&gt;0,$J32&lt;&gt;0),$F32&gt;=$J32,TRUE)</f>
        <v>1</v>
      </c>
      <c r="AS8" s="47" t="b">
        <f>IF(OR($F33&lt;&gt;0,$J33&lt;&gt;0),$F33&gt;=$J33,TRUE)</f>
        <v>1</v>
      </c>
      <c r="AT8" s="47" t="b">
        <f>IF(OR($F34&lt;&gt;0,$J34&lt;&gt;0),$F34&gt;=$J34,TRUE)</f>
        <v>1</v>
      </c>
      <c r="AU8" s="47" t="b">
        <f>IF(OR($F35&lt;&gt;0,$J35&lt;&gt;0),$F35&gt;=$J35,TRUE)</f>
        <v>1</v>
      </c>
      <c r="AV8" s="47" t="b">
        <f>IF(OR($F36&lt;&gt;0,$J36&lt;&gt;0),$F36&gt;=$J36,TRUE)</f>
        <v>1</v>
      </c>
      <c r="AW8" s="47" t="b">
        <f>IF(OR($F37&lt;&gt;0,$J37&lt;&gt;0),$F37&gt;=$J37,TRUE)</f>
        <v>1</v>
      </c>
      <c r="AX8" s="47" t="b">
        <f>IF(OR($F38&lt;&gt;0,$J38&lt;&gt;0),$F38&gt;=$J38,TRUE)</f>
        <v>1</v>
      </c>
      <c r="AY8" s="47" t="b">
        <f>IF(OR($F39&lt;&gt;0,$J39&lt;&gt;0),$F39&gt;=$J39,TRUE)</f>
        <v>1</v>
      </c>
      <c r="AZ8" s="47" t="b">
        <f>IF(OR($F40&lt;&gt;0,$J40&lt;&gt;0),$F40&gt;=$J40,TRUE)</f>
        <v>1</v>
      </c>
      <c r="BA8" s="47" t="b">
        <f>IF(OR($F41&lt;&gt;0,$J41&lt;&gt;0),$F41&gt;=$J41,TRUE)</f>
        <v>1</v>
      </c>
      <c r="BB8" s="47" t="b">
        <f>IF(OR($F42&lt;&gt;0,$J42&lt;&gt;0),$F42&gt;=$J42,TRUE)</f>
        <v>1</v>
      </c>
      <c r="BC8" s="47" t="b">
        <f>IF(OR($F43&lt;&gt;0,$J43&lt;&gt;0),$F43&gt;=$J43,TRUE)</f>
        <v>1</v>
      </c>
      <c r="BD8" s="47" t="b">
        <f>IF(OR($F44&lt;&gt;0,$J44&lt;&gt;0),$F44&gt;=$J44,TRUE)</f>
        <v>1</v>
      </c>
      <c r="BE8" s="47" t="b">
        <f>IF(OR($F45&lt;&gt;0,$J45&lt;&gt;0),$F45&gt;=$J45,TRUE)</f>
        <v>1</v>
      </c>
      <c r="BF8" s="47" t="b">
        <f>IF(OR($F46&lt;&gt;0,$J46&lt;&gt;0),$F46&gt;=$J46,TRUE)</f>
        <v>1</v>
      </c>
      <c r="BG8" s="47" t="b">
        <f>IF(OR($F47&lt;&gt;0,$J47&lt;&gt;0),$F47&gt;=$J47,TRUE)</f>
        <v>1</v>
      </c>
      <c r="BH8" s="47" t="b">
        <f>IF(OR($F48&lt;&gt;0,$J48&lt;&gt;0),$F48&gt;=$J48,TRUE)</f>
        <v>1</v>
      </c>
      <c r="BI8" s="47" t="b">
        <f>IF(OR($F49&lt;&gt;0,$J49&lt;&gt;0),$F49&gt;=$J49,TRUE)</f>
        <v>1</v>
      </c>
      <c r="BJ8" s="47" t="b">
        <f>IF(OR($F50&lt;&gt;0,$J50&lt;&gt;0),$F50&gt;=$J50,TRUE)</f>
        <v>1</v>
      </c>
      <c r="BK8" s="47" t="b">
        <f>IF(OR($F51&lt;&gt;0,$J51&lt;&gt;0),$F51&gt;=$J51,TRUE)</f>
        <v>1</v>
      </c>
      <c r="BL8" s="47" t="b">
        <f>IF(OR($F52&lt;&gt;0,$J52&lt;&gt;0),$F52&gt;=$J52,TRUE)</f>
        <v>1</v>
      </c>
      <c r="BM8" s="47" t="b">
        <f>IF(OR($F53&lt;&gt;0,$J53&lt;&gt;0),$F53&gt;=$J53,TRUE)</f>
        <v>1</v>
      </c>
      <c r="BN8" s="47" t="b">
        <f>IF(OR($F54&lt;&gt;0,$J54&lt;&gt;0),$F54&gt;=$J54,TRUE)</f>
        <v>1</v>
      </c>
      <c r="BO8" s="47" t="b">
        <f>IF(OR($F55&lt;&gt;0,$J55&lt;&gt;0),$F55&gt;=$J55,TRUE)</f>
        <v>1</v>
      </c>
      <c r="BP8" s="47" t="b">
        <f>IF(OR($F56&lt;&gt;0,$J56&lt;&gt;0),$F56&gt;=$J56,TRUE)</f>
        <v>1</v>
      </c>
      <c r="BQ8" s="47" t="b">
        <f>IF(OR($F57&lt;&gt;0,$J57&lt;&gt;0),$F57&gt;=$J57,TRUE)</f>
        <v>1</v>
      </c>
      <c r="BR8" s="47" t="b">
        <f>IF(OR($F58&lt;&gt;0,$J58&lt;&gt;0),$F58&gt;=$J58,TRUE)</f>
        <v>1</v>
      </c>
      <c r="BS8" s="47" t="b">
        <f>IF(OR($F59&lt;&gt;0,$J59&lt;&gt;0),$F59&gt;=$J59,TRUE)</f>
        <v>1</v>
      </c>
      <c r="BT8" s="47" t="b">
        <f>IF(OR($F60&lt;&gt;0,$J60&lt;&gt;0),$F60&gt;=$J60,TRUE)</f>
        <v>1</v>
      </c>
      <c r="BU8" s="47" t="b">
        <f>IF(OR($F61&lt;&gt;0,$J61&lt;&gt;0),$F61&gt;=$J61,TRUE)</f>
        <v>1</v>
      </c>
      <c r="BV8" s="47" t="b">
        <f>IF(OR($F62&lt;&gt;0,$J62&lt;&gt;0),$F62&gt;=$J62,TRUE)</f>
        <v>1</v>
      </c>
      <c r="BW8" s="47" t="b">
        <f>IF(OR($F63&lt;&gt;0,$J63&lt;&gt;0),$F63&gt;=$J63,TRUE)</f>
        <v>1</v>
      </c>
      <c r="BX8" s="47" t="b">
        <f>IF(OR($F64&lt;&gt;0,$J64&lt;&gt;0),$F64&gt;=$J64,TRUE)</f>
        <v>1</v>
      </c>
      <c r="BY8" s="47" t="b">
        <f>IF(OR($F65&lt;&gt;0,$J65&lt;&gt;0),$F65&gt;=$J65,TRUE)</f>
        <v>1</v>
      </c>
      <c r="BZ8" s="47" t="b">
        <f>IF(OR($F66&lt;&gt;0,$J66&lt;&gt;0),$F66&gt;=$J66,TRUE)</f>
        <v>1</v>
      </c>
      <c r="CA8" s="47" t="b">
        <f>IF(OR($F67&lt;&gt;0,$J67&lt;&gt;0),$F67&gt;=$J67,TRUE)</f>
        <v>1</v>
      </c>
      <c r="CB8" s="47" t="b">
        <f>IF(OR($F68&lt;&gt;0,$J68&lt;&gt;0),$F68&gt;=$J68,TRUE)</f>
        <v>1</v>
      </c>
      <c r="CC8" s="47" t="b">
        <f>IF(OR($F69&lt;&gt;0,$J69&lt;&gt;0),$F69&gt;=$J69,TRUE)</f>
        <v>1</v>
      </c>
      <c r="CD8" s="47" t="b">
        <f>IF(OR($F70&lt;&gt;0,$J70&lt;&gt;0),$F70&gt;=$J70,TRUE)</f>
        <v>1</v>
      </c>
      <c r="CE8" s="47" t="b">
        <f>IF(OR($F71&lt;&gt;0,$J71&lt;&gt;0),$F71&gt;=$J71,TRUE)</f>
        <v>1</v>
      </c>
      <c r="CF8" s="47" t="b">
        <f>IF(OR($F72&lt;&gt;0,$J72&lt;&gt;0),$F72&gt;=$J72,TRUE)</f>
        <v>1</v>
      </c>
      <c r="CG8" s="47" t="b">
        <f>IF(OR($F73&lt;&gt;0,$J73&lt;&gt;0),$F73&gt;=$J73,TRUE)</f>
        <v>1</v>
      </c>
      <c r="CH8" s="47" t="b">
        <f>IF(OR($F74&lt;&gt;0,$J74&lt;&gt;0),$F74&gt;=$J74,TRUE)</f>
        <v>1</v>
      </c>
      <c r="CI8" s="47" t="b">
        <f>IF(OR($F75&lt;&gt;0,$J75&lt;&gt;0),$F75&gt;=$J75,TRUE)</f>
        <v>1</v>
      </c>
      <c r="CJ8" s="47" t="b">
        <f>IF(OR($F76&lt;&gt;0,$J76&lt;&gt;0),$F76&gt;=$J76,TRUE)</f>
        <v>1</v>
      </c>
      <c r="CK8" s="47" t="b">
        <f>IF(OR($F77&lt;&gt;0,$J77&lt;&gt;0),$F77&gt;=$J77,TRUE)</f>
        <v>1</v>
      </c>
      <c r="CL8" s="47" t="b">
        <f>IF(OR($F78&lt;&gt;0,$J78&lt;&gt;0),$F78&gt;=$J78,TRUE)</f>
        <v>1</v>
      </c>
    </row>
    <row r="9" spans="1:111" ht="16.5" customHeight="1" thickBot="1" x14ac:dyDescent="0.3">
      <c r="B9" s="61" t="s">
        <v>337</v>
      </c>
      <c r="C9" s="62">
        <v>2</v>
      </c>
      <c r="D9" s="63" t="s">
        <v>338</v>
      </c>
      <c r="E9" s="92">
        <f t="shared" si="0"/>
        <v>12</v>
      </c>
      <c r="F9" s="151">
        <v>12</v>
      </c>
      <c r="G9" s="151">
        <v>4</v>
      </c>
      <c r="H9" s="151">
        <v>8</v>
      </c>
      <c r="I9" s="92">
        <f t="shared" si="1"/>
        <v>0</v>
      </c>
      <c r="J9" s="92">
        <f t="shared" si="1"/>
        <v>0</v>
      </c>
      <c r="K9" s="151"/>
      <c r="L9" s="151"/>
      <c r="M9" s="151"/>
      <c r="N9" s="151"/>
      <c r="O9" s="45" t="str">
        <f>IF(Q9&gt;0,"гр.6 &gt;= гр.10 по строке "&amp;P9,"ОК")</f>
        <v>ОК</v>
      </c>
      <c r="P9" s="415" t="str">
        <f>IF(Q9&gt;0,INDEX($C$7:$C$78,Q9,1),CHAR(151))</f>
        <v>—</v>
      </c>
      <c r="Q9" s="47">
        <f>IF(ISERROR(MATCH(FALSE,S9:CL9,0)),0,MATCH(FALSE,S9:CL9,0))</f>
        <v>0</v>
      </c>
      <c r="R9" s="414"/>
      <c r="S9" s="47" t="b">
        <f>IF(OR($G7&lt;&gt;0,$K7&lt;&gt;0),$G7&gt;=$K7,TRUE)</f>
        <v>1</v>
      </c>
      <c r="T9" s="47" t="b">
        <f>IF(OR($G8&lt;&gt;0,$K8&lt;&gt;0),$G8&gt;=$K8,TRUE)</f>
        <v>1</v>
      </c>
      <c r="U9" s="47" t="b">
        <f>IF(OR($G9&lt;&gt;0,$K9&lt;&gt;0),$G9&gt;=$K9,TRUE)</f>
        <v>1</v>
      </c>
      <c r="V9" s="47" t="b">
        <f>IF(OR($G10&lt;&gt;0,$K10&lt;&gt;0),$G10&gt;=$K10,TRUE)</f>
        <v>1</v>
      </c>
      <c r="W9" s="47" t="b">
        <f>IF(OR($G11&lt;&gt;0,$K11&lt;&gt;0),$G11&gt;=$K11,TRUE)</f>
        <v>1</v>
      </c>
      <c r="X9" s="47" t="b">
        <f>IF(OR($G12&lt;&gt;0,$K12&lt;&gt;0),$G12&gt;=$K12,TRUE)</f>
        <v>1</v>
      </c>
      <c r="Y9" s="47" t="b">
        <f>IF(OR($G13&lt;&gt;0,$K13&lt;&gt;0),$G13&gt;=$K13,TRUE)</f>
        <v>1</v>
      </c>
      <c r="Z9" s="47" t="b">
        <f>IF(OR($G14&lt;&gt;0,$K14&lt;&gt;0),$G14&gt;=$K14,TRUE)</f>
        <v>1</v>
      </c>
      <c r="AA9" s="47" t="b">
        <f>IF(OR($G15&lt;&gt;0,$K15&lt;&gt;0),$G15&gt;=$K15,TRUE)</f>
        <v>1</v>
      </c>
      <c r="AB9" s="47" t="b">
        <f>IF(OR($G16&lt;&gt;0,$K16&lt;&gt;0),$G16&gt;=$K16,TRUE)</f>
        <v>1</v>
      </c>
      <c r="AC9" s="47" t="b">
        <f>IF(OR($G17&lt;&gt;0,$K17&lt;&gt;0),$G17&gt;=$K17,TRUE)</f>
        <v>1</v>
      </c>
      <c r="AD9" s="47" t="b">
        <f>IF(OR($G18&lt;&gt;0,$K18&lt;&gt;0),$G18&gt;=$K18,TRUE)</f>
        <v>1</v>
      </c>
      <c r="AE9" s="47" t="b">
        <f>IF(OR($G19&lt;&gt;0,$K19&lt;&gt;0),$G19&gt;=$K19,TRUE)</f>
        <v>1</v>
      </c>
      <c r="AF9" s="47" t="b">
        <f>IF(OR($G20&lt;&gt;0,$K20&lt;&gt;0),$G20&gt;=$K20,TRUE)</f>
        <v>1</v>
      </c>
      <c r="AG9" s="47" t="b">
        <f>IF(OR($G21&lt;&gt;0,$K21&lt;&gt;0),$G21&gt;=$K21,TRUE)</f>
        <v>1</v>
      </c>
      <c r="AH9" s="47" t="b">
        <f>IF(OR($G22&lt;&gt;0,$K22&lt;&gt;0),$G22&gt;=$K22,TRUE)</f>
        <v>1</v>
      </c>
      <c r="AI9" s="47" t="b">
        <f>IF(OR($G23&lt;&gt;0,$K23&lt;&gt;0),$G23&gt;=$K23,TRUE)</f>
        <v>1</v>
      </c>
      <c r="AJ9" s="47" t="b">
        <f>IF(OR($G24&lt;&gt;0,$K24&lt;&gt;0),$G24&gt;=$K24,TRUE)</f>
        <v>1</v>
      </c>
      <c r="AK9" s="47" t="b">
        <f>IF(OR($G25&lt;&gt;0,$K25&lt;&gt;0),$G25&gt;=$K25,TRUE)</f>
        <v>1</v>
      </c>
      <c r="AL9" s="47" t="b">
        <f>IF(OR($G26&lt;&gt;0,$K26&lt;&gt;0),$G26&gt;=$K26,TRUE)</f>
        <v>1</v>
      </c>
      <c r="AM9" s="47" t="b">
        <f>IF(OR($G27&lt;&gt;0,$K27&lt;&gt;0),$G27&gt;=$K27,TRUE)</f>
        <v>1</v>
      </c>
      <c r="AN9" s="47" t="b">
        <f>IF(OR($G28&lt;&gt;0,$K28&lt;&gt;0),$G28&gt;=$K28,TRUE)</f>
        <v>1</v>
      </c>
      <c r="AO9" s="47" t="b">
        <f>IF(OR($G29&lt;&gt;0,$K29&lt;&gt;0),$G29&gt;=$K29,TRUE)</f>
        <v>1</v>
      </c>
      <c r="AP9" s="47" t="b">
        <f>IF(OR($G30&lt;&gt;0,$K30&lt;&gt;0),$G30&gt;=$K30,TRUE)</f>
        <v>1</v>
      </c>
      <c r="AQ9" s="47" t="b">
        <f>IF(OR($G31&lt;&gt;0,$K31&lt;&gt;0),$G31&gt;=$K31,TRUE)</f>
        <v>1</v>
      </c>
      <c r="AR9" s="47" t="b">
        <f>IF(OR($G32&lt;&gt;0,$K32&lt;&gt;0),$G32&gt;=$K32,TRUE)</f>
        <v>1</v>
      </c>
      <c r="AS9" s="47" t="b">
        <f>IF(OR($G33&lt;&gt;0,$K33&lt;&gt;0),$G33&gt;=$K33,TRUE)</f>
        <v>1</v>
      </c>
      <c r="AT9" s="47" t="b">
        <f>IF(OR($G34&lt;&gt;0,$K34&lt;&gt;0),$G34&gt;=$K34,TRUE)</f>
        <v>1</v>
      </c>
      <c r="AU9" s="47" t="b">
        <f>IF(OR($G35&lt;&gt;0,$K35&lt;&gt;0),$G35&gt;=$K35,TRUE)</f>
        <v>1</v>
      </c>
      <c r="AV9" s="47" t="b">
        <f>IF(OR($G36&lt;&gt;0,$K36&lt;&gt;0),$G36&gt;=$K36,TRUE)</f>
        <v>1</v>
      </c>
      <c r="AW9" s="47" t="b">
        <f>IF(OR($G37&lt;&gt;0,$K37&lt;&gt;0),$G37&gt;=$K37,TRUE)</f>
        <v>1</v>
      </c>
      <c r="AX9" s="47" t="b">
        <f>IF(OR($G38&lt;&gt;0,$K38&lt;&gt;0),$G38&gt;=$K38,TRUE)</f>
        <v>1</v>
      </c>
      <c r="AY9" s="47" t="b">
        <f>IF(OR($G39&lt;&gt;0,$K39&lt;&gt;0),$G39&gt;=$K39,TRUE)</f>
        <v>1</v>
      </c>
      <c r="AZ9" s="47" t="b">
        <f>IF(OR($G40&lt;&gt;0,$K40&lt;&gt;0),$G40&gt;=$K40,TRUE)</f>
        <v>1</v>
      </c>
      <c r="BA9" s="47" t="b">
        <f>IF(OR($G41&lt;&gt;0,$K41&lt;&gt;0),$G41&gt;=$K41,TRUE)</f>
        <v>1</v>
      </c>
      <c r="BB9" s="47" t="b">
        <f>IF(OR($G42&lt;&gt;0,$K42&lt;&gt;0),$G42&gt;=$K42,TRUE)</f>
        <v>1</v>
      </c>
      <c r="BC9" s="47" t="b">
        <f>IF(OR($G43&lt;&gt;0,$K43&lt;&gt;0),$G43&gt;=$K43,TRUE)</f>
        <v>1</v>
      </c>
      <c r="BD9" s="47" t="b">
        <f>IF(OR($G44&lt;&gt;0,$K44&lt;&gt;0),$G44&gt;=$K44,TRUE)</f>
        <v>1</v>
      </c>
      <c r="BE9" s="47" t="b">
        <f>IF(OR($G45&lt;&gt;0,$K45&lt;&gt;0),$G45&gt;=$K45,TRUE)</f>
        <v>1</v>
      </c>
      <c r="BF9" s="47" t="b">
        <f>IF(OR($G46&lt;&gt;0,$K46&lt;&gt;0),$G46&gt;=$K46,TRUE)</f>
        <v>1</v>
      </c>
      <c r="BG9" s="47" t="b">
        <f>IF(OR($G47&lt;&gt;0,$K47&lt;&gt;0),$G47&gt;=$K47,TRUE)</f>
        <v>1</v>
      </c>
      <c r="BH9" s="47" t="b">
        <f>IF(OR($G48&lt;&gt;0,$K48&lt;&gt;0),$G48&gt;=$K48,TRUE)</f>
        <v>1</v>
      </c>
      <c r="BI9" s="47" t="b">
        <f>IF(OR($G49&lt;&gt;0,$K49&lt;&gt;0),$G49&gt;=$K49,TRUE)</f>
        <v>1</v>
      </c>
      <c r="BJ9" s="47" t="b">
        <f>IF(OR($G50&lt;&gt;0,$K50&lt;&gt;0),$G50&gt;=$K50,TRUE)</f>
        <v>1</v>
      </c>
      <c r="BK9" s="47" t="b">
        <f>IF(OR($G51&lt;&gt;0,$K51&lt;&gt;0),$G51&gt;=$K51,TRUE)</f>
        <v>1</v>
      </c>
      <c r="BL9" s="47" t="b">
        <f>IF(OR($G52&lt;&gt;0,$K52&lt;&gt;0),$G52&gt;=$K52,TRUE)</f>
        <v>1</v>
      </c>
      <c r="BM9" s="47" t="b">
        <f>IF(OR($G53&lt;&gt;0,$K53&lt;&gt;0),$G53&gt;=$K53,TRUE)</f>
        <v>1</v>
      </c>
      <c r="BN9" s="47" t="b">
        <f>IF(OR($G54&lt;&gt;0,$K54&lt;&gt;0),$G54&gt;=$K54,TRUE)</f>
        <v>1</v>
      </c>
      <c r="BO9" s="47" t="b">
        <f>IF(OR($G55&lt;&gt;0,$K55&lt;&gt;0),$G55&gt;=$K55,TRUE)</f>
        <v>1</v>
      </c>
      <c r="BP9" s="47" t="b">
        <f>IF(OR($G56&lt;&gt;0,$K56&lt;&gt;0),$G56&gt;=$K56,TRUE)</f>
        <v>1</v>
      </c>
      <c r="BQ9" s="47" t="b">
        <f>IF(OR($G57&lt;&gt;0,$K57&lt;&gt;0),$G57&gt;=$K57,TRUE)</f>
        <v>1</v>
      </c>
      <c r="BR9" s="47" t="b">
        <f>IF(OR($G58&lt;&gt;0,$K58&lt;&gt;0),$G58&gt;=$K58,TRUE)</f>
        <v>1</v>
      </c>
      <c r="BS9" s="47" t="b">
        <f>IF(OR($G59&lt;&gt;0,$K59&lt;&gt;0),$G59&gt;=$K59,TRUE)</f>
        <v>1</v>
      </c>
      <c r="BT9" s="47" t="b">
        <f>IF(OR($G60&lt;&gt;0,$K60&lt;&gt;0),$G60&gt;=$K60,TRUE)</f>
        <v>1</v>
      </c>
      <c r="BU9" s="47" t="b">
        <f>IF(OR($G61&lt;&gt;0,$K61&lt;&gt;0),$G61&gt;=$K61,TRUE)</f>
        <v>1</v>
      </c>
      <c r="BV9" s="47" t="b">
        <f>IF(OR($G62&lt;&gt;0,$K62&lt;&gt;0),$G62&gt;=$K62,TRUE)</f>
        <v>1</v>
      </c>
      <c r="BW9" s="47" t="b">
        <f>IF(OR($G63&lt;&gt;0,$K63&lt;&gt;0),$G63&gt;=$K63,TRUE)</f>
        <v>1</v>
      </c>
      <c r="BX9" s="47" t="b">
        <f>IF(OR($G64&lt;&gt;0,$K64&lt;&gt;0),$G64&gt;=$K64,TRUE)</f>
        <v>1</v>
      </c>
      <c r="BY9" s="47" t="b">
        <f>IF(OR($G65&lt;&gt;0,$K65&lt;&gt;0),$G65&gt;=$K65,TRUE)</f>
        <v>1</v>
      </c>
      <c r="BZ9" s="47" t="b">
        <f>IF(OR($G66&lt;&gt;0,$K66&lt;&gt;0),$G66&gt;=$K66,TRUE)</f>
        <v>1</v>
      </c>
      <c r="CA9" s="47" t="b">
        <f>IF(OR($G67&lt;&gt;0,$K67&lt;&gt;0),$G67&gt;=$K67,TRUE)</f>
        <v>1</v>
      </c>
      <c r="CB9" s="47" t="b">
        <f>IF(OR($G68&lt;&gt;0,$K68&lt;&gt;0),$G68&gt;=$K68,TRUE)</f>
        <v>1</v>
      </c>
      <c r="CC9" s="47" t="b">
        <f>IF(OR($G69&lt;&gt;0,$K69&lt;&gt;0),$G69&gt;=$K69,TRUE)</f>
        <v>1</v>
      </c>
      <c r="CD9" s="47" t="b">
        <f>IF(OR($G70&lt;&gt;0,$K70&lt;&gt;0),$G70&gt;=$K70,TRUE)</f>
        <v>1</v>
      </c>
      <c r="CE9" s="47" t="b">
        <f>IF(OR($G71&lt;&gt;0,$K71&lt;&gt;0),$G71&gt;=$K71,TRUE)</f>
        <v>1</v>
      </c>
      <c r="CF9" s="47" t="b">
        <f>IF(OR($G72&lt;&gt;0,$K72&lt;&gt;0),$G72&gt;=$K72,TRUE)</f>
        <v>1</v>
      </c>
      <c r="CG9" s="47" t="b">
        <f>IF(OR($G73&lt;&gt;0,$K73&lt;&gt;0),$G73&gt;=$K73,TRUE)</f>
        <v>1</v>
      </c>
      <c r="CH9" s="47" t="b">
        <f>IF(OR($G74&lt;&gt;0,$K74&lt;&gt;0),$G74&gt;=$K74,TRUE)</f>
        <v>1</v>
      </c>
      <c r="CI9" s="47" t="b">
        <f>IF(OR($G75&lt;&gt;0,$K75&lt;&gt;0),$G75&gt;=$K75,TRUE)</f>
        <v>1</v>
      </c>
      <c r="CJ9" s="47" t="b">
        <f>IF(OR($G76&lt;&gt;0,$K76&lt;&gt;0),$G76&gt;=$K76,TRUE)</f>
        <v>1</v>
      </c>
      <c r="CK9" s="47" t="b">
        <f>IF(OR($G77&lt;&gt;0,$K77&lt;&gt;0),$G77&gt;=$K77,TRUE)</f>
        <v>1</v>
      </c>
      <c r="CL9" s="47" t="b">
        <f>IF(OR($G78&lt;&gt;0,$K78&lt;&gt;0),$G78&gt;=$K78,TRUE)</f>
        <v>1</v>
      </c>
    </row>
    <row r="10" spans="1:111" ht="19.5" thickBot="1" x14ac:dyDescent="0.3">
      <c r="B10" s="64" t="s">
        <v>178</v>
      </c>
      <c r="C10" s="67" t="s">
        <v>243</v>
      </c>
      <c r="D10" s="65" t="s">
        <v>179</v>
      </c>
      <c r="E10" s="92">
        <f t="shared" si="0"/>
        <v>11</v>
      </c>
      <c r="F10" s="151">
        <v>11</v>
      </c>
      <c r="G10" s="151">
        <v>4</v>
      </c>
      <c r="H10" s="151">
        <v>7</v>
      </c>
      <c r="I10" s="92">
        <f t="shared" si="1"/>
        <v>0</v>
      </c>
      <c r="J10" s="92">
        <f t="shared" si="1"/>
        <v>0</v>
      </c>
      <c r="K10" s="402">
        <f>'ДВН-124н'!$N$8-$M$10</f>
        <v>0</v>
      </c>
      <c r="L10" s="92">
        <f>'ДВН-124н'!N19</f>
        <v>0</v>
      </c>
      <c r="M10" s="92">
        <f>'ДВН-124н'!$N$17</f>
        <v>0</v>
      </c>
      <c r="N10" s="92">
        <f>'ДВН-124н'!$N$20</f>
        <v>0</v>
      </c>
      <c r="O10" s="45" t="str">
        <f>IF(Q10&gt;0,"гр.7 &gt;= гр.12 по строке "&amp;P10,"ОК")</f>
        <v>ОК</v>
      </c>
      <c r="P10" s="415" t="str">
        <f>IF(Q10&gt;0,INDEX($C$7:$C$78,Q10,1),CHAR(151))</f>
        <v>—</v>
      </c>
      <c r="Q10" s="47">
        <f>IF(ISERROR(MATCH(FALSE,S10:CL10,0)),0,MATCH(FALSE,S10:CL10,0))</f>
        <v>0</v>
      </c>
      <c r="R10" s="414"/>
      <c r="S10" s="47" t="b">
        <f>IF(OR($H7&lt;&gt;0,$M7&lt;&gt;0),$H7&gt;=$M7,TRUE)</f>
        <v>1</v>
      </c>
      <c r="T10" s="47" t="b">
        <f>IF(OR($H8&lt;&gt;0,$M8&lt;&gt;0),$H8&gt;=$M8,TRUE)</f>
        <v>1</v>
      </c>
      <c r="U10" s="47" t="b">
        <f>IF(OR($H9&lt;&gt;0,$M9&lt;&gt;0),$H9&gt;=$M9,TRUE)</f>
        <v>1</v>
      </c>
      <c r="V10" s="47" t="b">
        <f>IF(OR($H10&lt;&gt;0,$M10&lt;&gt;0),$H10&gt;=$M10,TRUE)</f>
        <v>1</v>
      </c>
      <c r="W10" s="47" t="b">
        <f>IF(OR($H11&lt;&gt;0,$M11&lt;&gt;0),$H11&gt;=$M11,TRUE)</f>
        <v>1</v>
      </c>
      <c r="X10" s="47" t="b">
        <f>IF(OR($H12&lt;&gt;0,$M12&lt;&gt;0),$H12&gt;=$M12,TRUE)</f>
        <v>1</v>
      </c>
      <c r="Y10" s="47" t="b">
        <f>IF(OR($H13&lt;&gt;0,$M13&lt;&gt;0),$H13&gt;=$M13,TRUE)</f>
        <v>1</v>
      </c>
      <c r="Z10" s="47" t="b">
        <f>IF(OR($H14&lt;&gt;0,$M14&lt;&gt;0),$H14&gt;=$M14,TRUE)</f>
        <v>1</v>
      </c>
      <c r="AA10" s="47" t="b">
        <f>IF(OR($H15&lt;&gt;0,$M15&lt;&gt;0),$H15&gt;=$M15,TRUE)</f>
        <v>1</v>
      </c>
      <c r="AB10" s="47" t="b">
        <f>IF(OR($H16&lt;&gt;0,$M16&lt;&gt;0),$H16&gt;=$M16,TRUE)</f>
        <v>1</v>
      </c>
      <c r="AC10" s="47" t="b">
        <f>IF(OR($H17&lt;&gt;0,$M17&lt;&gt;0),$H17&gt;=$M17,TRUE)</f>
        <v>1</v>
      </c>
      <c r="AD10" s="47" t="b">
        <f>IF(OR($H18&lt;&gt;0,$M18&lt;&gt;0),$H18&gt;=$M18,TRUE)</f>
        <v>1</v>
      </c>
      <c r="AE10" s="47" t="b">
        <f>IF(OR($H19&lt;&gt;0,$M19&lt;&gt;0),$H19&gt;=$M19,TRUE)</f>
        <v>1</v>
      </c>
      <c r="AF10" s="47" t="b">
        <f>IF(OR($H20&lt;&gt;0,$M20&lt;&gt;0),$H20&gt;=$M20,TRUE)</f>
        <v>1</v>
      </c>
      <c r="AG10" s="47" t="b">
        <f>IF(OR($H21&lt;&gt;0,$M21&lt;&gt;0),$H21&gt;=$M21,TRUE)</f>
        <v>1</v>
      </c>
      <c r="AH10" s="47" t="b">
        <f>IF(OR($H22&lt;&gt;0,$M22&lt;&gt;0),$H22&gt;=$M22,TRUE)</f>
        <v>1</v>
      </c>
      <c r="AI10" s="47" t="b">
        <f>IF(OR($H23&lt;&gt;0,$M23&lt;&gt;0),$H23&gt;=$M23,TRUE)</f>
        <v>1</v>
      </c>
      <c r="AJ10" s="47" t="b">
        <f>IF(OR($H24&lt;&gt;0,$M24&lt;&gt;0),$H24&gt;=$M24,TRUE)</f>
        <v>1</v>
      </c>
      <c r="AK10" s="47" t="b">
        <f>IF(OR($H25&lt;&gt;0,$M25&lt;&gt;0),$H25&gt;=$M25,TRUE)</f>
        <v>1</v>
      </c>
      <c r="AL10" s="47" t="b">
        <f>IF(OR($H26&lt;&gt;0,$M26&lt;&gt;0),$H26&gt;=$M26,TRUE)</f>
        <v>1</v>
      </c>
      <c r="AM10" s="47" t="b">
        <f>IF(OR($H27&lt;&gt;0,$M27&lt;&gt;0),$H27&gt;=$M27,TRUE)</f>
        <v>1</v>
      </c>
      <c r="AN10" s="47" t="b">
        <f>IF(OR($H28&lt;&gt;0,$M28&lt;&gt;0),$H28&gt;=$M28,TRUE)</f>
        <v>1</v>
      </c>
      <c r="AO10" s="47" t="b">
        <f>IF(OR($H29&lt;&gt;0,$M29&lt;&gt;0),$H29&gt;=$M29,TRUE)</f>
        <v>1</v>
      </c>
      <c r="AP10" s="47" t="b">
        <f>IF(OR($H30&lt;&gt;0,$M30&lt;&gt;0),$H30&gt;=$M30,TRUE)</f>
        <v>1</v>
      </c>
      <c r="AQ10" s="47" t="b">
        <f>IF(OR($H31&lt;&gt;0,$M31&lt;&gt;0),$H31&gt;=$M31,TRUE)</f>
        <v>1</v>
      </c>
      <c r="AR10" s="47" t="b">
        <f>IF(OR($H32&lt;&gt;0,$M32&lt;&gt;0),$H32&gt;=$M32,TRUE)</f>
        <v>1</v>
      </c>
      <c r="AS10" s="47" t="b">
        <f>IF(OR($H33&lt;&gt;0,$M33&lt;&gt;0),$H33&gt;=$M33,TRUE)</f>
        <v>1</v>
      </c>
      <c r="AT10" s="47" t="b">
        <f>IF(OR($H34&lt;&gt;0,$M34&lt;&gt;0),$H34&gt;=$M34,TRUE)</f>
        <v>1</v>
      </c>
      <c r="AU10" s="47" t="b">
        <f>IF(OR($H35&lt;&gt;0,$M35&lt;&gt;0),$H35&gt;=$M35,TRUE)</f>
        <v>1</v>
      </c>
      <c r="AV10" s="47" t="b">
        <f>IF(OR($H36&lt;&gt;0,$M36&lt;&gt;0),$H36&gt;=$M36,TRUE)</f>
        <v>1</v>
      </c>
      <c r="AW10" s="47" t="b">
        <f>IF(OR($H37&lt;&gt;0,$M37&lt;&gt;0),$H37&gt;=$M37,TRUE)</f>
        <v>1</v>
      </c>
      <c r="AX10" s="47" t="b">
        <f>IF(OR($H38&lt;&gt;0,$M38&lt;&gt;0),$H38&gt;=$M38,TRUE)</f>
        <v>1</v>
      </c>
      <c r="AY10" s="47" t="b">
        <f>IF(OR($H39&lt;&gt;0,$M39&lt;&gt;0),$H39&gt;=$M39,TRUE)</f>
        <v>1</v>
      </c>
      <c r="AZ10" s="47" t="b">
        <f>IF(OR($H40&lt;&gt;0,$M40&lt;&gt;0),$H40&gt;=$M40,TRUE)</f>
        <v>1</v>
      </c>
      <c r="BA10" s="47" t="b">
        <f>IF(OR($H41&lt;&gt;0,$M41&lt;&gt;0),$H41&gt;=$M41,TRUE)</f>
        <v>1</v>
      </c>
      <c r="BB10" s="47" t="b">
        <f>IF(OR($H42&lt;&gt;0,$M42&lt;&gt;0),$H42&gt;=$M42,TRUE)</f>
        <v>1</v>
      </c>
      <c r="BC10" s="47" t="b">
        <f>IF(OR($H43&lt;&gt;0,$M43&lt;&gt;0),$H43&gt;=$M43,TRUE)</f>
        <v>1</v>
      </c>
      <c r="BD10" s="47" t="b">
        <f>IF(OR($H44&lt;&gt;0,$M44&lt;&gt;0),$H44&gt;=$M44,TRUE)</f>
        <v>1</v>
      </c>
      <c r="BE10" s="47" t="b">
        <f>IF(OR($H45&lt;&gt;0,$M45&lt;&gt;0),$H45&gt;=$M45,TRUE)</f>
        <v>1</v>
      </c>
      <c r="BF10" s="47" t="b">
        <f>IF(OR($H46&lt;&gt;0,$M46&lt;&gt;0),$H46&gt;=$M46,TRUE)</f>
        <v>1</v>
      </c>
      <c r="BG10" s="47" t="b">
        <f>IF(OR($H47&lt;&gt;0,$M47&lt;&gt;0),$H47&gt;=$M47,TRUE)</f>
        <v>1</v>
      </c>
      <c r="BH10" s="47" t="b">
        <f>IF(OR($H48&lt;&gt;0,$M48&lt;&gt;0),$H48&gt;=$M48,TRUE)</f>
        <v>1</v>
      </c>
      <c r="BI10" s="47" t="b">
        <f>IF(OR($H49&lt;&gt;0,$M49&lt;&gt;0),$H49&gt;=$M49,TRUE)</f>
        <v>1</v>
      </c>
      <c r="BJ10" s="47" t="b">
        <f>IF(OR($H50&lt;&gt;0,$M50&lt;&gt;0),$H50&gt;=$M50,TRUE)</f>
        <v>1</v>
      </c>
      <c r="BK10" s="47" t="b">
        <f>IF(OR($H51&lt;&gt;0,$M51&lt;&gt;0),$H51&gt;=$M51,TRUE)</f>
        <v>1</v>
      </c>
      <c r="BL10" s="47" t="b">
        <f>IF(OR($H52&lt;&gt;0,$M52&lt;&gt;0),$H52&gt;=$M52,TRUE)</f>
        <v>1</v>
      </c>
      <c r="BM10" s="47" t="b">
        <f>IF(OR($H53&lt;&gt;0,$M53&lt;&gt;0),$H53&gt;=$M53,TRUE)</f>
        <v>1</v>
      </c>
      <c r="BN10" s="47" t="b">
        <f>IF(OR($H54&lt;&gt;0,$M54&lt;&gt;0),$H54&gt;=$M54,TRUE)</f>
        <v>1</v>
      </c>
      <c r="BO10" s="47" t="b">
        <f>IF(OR($H55&lt;&gt;0,$M55&lt;&gt;0),$H55&gt;=$M55,TRUE)</f>
        <v>1</v>
      </c>
      <c r="BP10" s="47" t="b">
        <f>IF(OR($H56&lt;&gt;0,$M56&lt;&gt;0),$H56&gt;=$M56,TRUE)</f>
        <v>1</v>
      </c>
      <c r="BQ10" s="47" t="b">
        <f>IF(OR($H57&lt;&gt;0,$M57&lt;&gt;0),$H57&gt;=$M57,TRUE)</f>
        <v>1</v>
      </c>
      <c r="BR10" s="47" t="b">
        <f>IF(OR($H58&lt;&gt;0,$M58&lt;&gt;0),$H58&gt;=$M58,TRUE)</f>
        <v>1</v>
      </c>
      <c r="BS10" s="47" t="b">
        <f>IF(OR($H59&lt;&gt;0,$M59&lt;&gt;0),$H59&gt;=$M59,TRUE)</f>
        <v>1</v>
      </c>
      <c r="BT10" s="47" t="b">
        <f>IF(OR($H60&lt;&gt;0,$M60&lt;&gt;0),$H60&gt;=$M60,TRUE)</f>
        <v>1</v>
      </c>
      <c r="BU10" s="47" t="b">
        <f>IF(OR($H61&lt;&gt;0,$M61&lt;&gt;0),$H61&gt;=$M61,TRUE)</f>
        <v>1</v>
      </c>
      <c r="BV10" s="47" t="b">
        <f>IF(OR($H62&lt;&gt;0,$M62&lt;&gt;0),$H62&gt;=$M62,TRUE)</f>
        <v>1</v>
      </c>
      <c r="BW10" s="47" t="b">
        <f>IF(OR($H63&lt;&gt;0,$M63&lt;&gt;0),$H63&gt;=$M63,TRUE)</f>
        <v>1</v>
      </c>
      <c r="BX10" s="47" t="b">
        <f>IF(OR($H64&lt;&gt;0,$M64&lt;&gt;0),$H64&gt;=$M64,TRUE)</f>
        <v>1</v>
      </c>
      <c r="BY10" s="47" t="b">
        <f>IF(OR($H65&lt;&gt;0,$M65&lt;&gt;0),$H65&gt;=$M65,TRUE)</f>
        <v>1</v>
      </c>
      <c r="BZ10" s="47" t="b">
        <f>IF(OR($H66&lt;&gt;0,$M66&lt;&gt;0),$H66&gt;=$M66,TRUE)</f>
        <v>1</v>
      </c>
      <c r="CA10" s="47" t="b">
        <f>IF(OR($H67&lt;&gt;0,$M67&lt;&gt;0),$H67&gt;=$M67,TRUE)</f>
        <v>1</v>
      </c>
      <c r="CB10" s="47" t="b">
        <f>IF(OR($H68&lt;&gt;0,$M68&lt;&gt;0),$H68&gt;=$M68,TRUE)</f>
        <v>1</v>
      </c>
      <c r="CC10" s="47" t="b">
        <f>IF(OR($H69&lt;&gt;0,$M69&lt;&gt;0),$H69&gt;=$M69,TRUE)</f>
        <v>1</v>
      </c>
      <c r="CD10" s="47" t="b">
        <f>IF(OR($H70&lt;&gt;0,$M70&lt;&gt;0),$H70&gt;=$M70,TRUE)</f>
        <v>1</v>
      </c>
      <c r="CE10" s="47" t="b">
        <f>IF(OR($H71&lt;&gt;0,$M71&lt;&gt;0),$H71&gt;=$M71,TRUE)</f>
        <v>1</v>
      </c>
      <c r="CF10" s="47" t="b">
        <f>IF(OR($H72&lt;&gt;0,$M72&lt;&gt;0),$H72&gt;=$M72,TRUE)</f>
        <v>1</v>
      </c>
      <c r="CG10" s="47" t="b">
        <f>IF(OR($H73&lt;&gt;0,$M73&lt;&gt;0),$H73&gt;=$M73,TRUE)</f>
        <v>1</v>
      </c>
      <c r="CH10" s="47" t="b">
        <f>IF(OR($H74&lt;&gt;0,$M74&lt;&gt;0),$H74&gt;=$M74,TRUE)</f>
        <v>1</v>
      </c>
      <c r="CI10" s="47" t="b">
        <f>IF(OR($H75&lt;&gt;0,$M75&lt;&gt;0),$H75&gt;=$M75,TRUE)</f>
        <v>1</v>
      </c>
      <c r="CJ10" s="47" t="b">
        <f>IF(OR($H76&lt;&gt;0,$M76&lt;&gt;0),$H76&gt;=$M76,TRUE)</f>
        <v>1</v>
      </c>
      <c r="CK10" s="47" t="b">
        <f>IF(OR($H77&lt;&gt;0,$M77&lt;&gt;0),$H77&gt;=$M77,TRUE)</f>
        <v>1</v>
      </c>
      <c r="CL10" s="47" t="b">
        <f>IF(OR($H78&lt;&gt;0,$M78&lt;&gt;0),$H78&gt;=$M78,TRUE)</f>
        <v>1</v>
      </c>
    </row>
    <row r="11" spans="1:111" s="5" customFormat="1" ht="63.75" thickBot="1" x14ac:dyDescent="0.3">
      <c r="B11" s="66" t="s">
        <v>180</v>
      </c>
      <c r="C11" s="403" t="s">
        <v>244</v>
      </c>
      <c r="D11" s="847" t="s">
        <v>181</v>
      </c>
      <c r="E11" s="92">
        <f t="shared" si="0"/>
        <v>0</v>
      </c>
      <c r="F11" s="405"/>
      <c r="G11" s="405"/>
      <c r="H11" s="405"/>
      <c r="I11" s="92">
        <f t="shared" si="1"/>
        <v>0</v>
      </c>
      <c r="J11" s="92">
        <f t="shared" si="1"/>
        <v>0</v>
      </c>
      <c r="K11" s="405"/>
      <c r="L11" s="405"/>
      <c r="M11" s="405"/>
      <c r="N11" s="406"/>
      <c r="O11" s="417" t="str">
        <f>IF(Q11&gt;0,"стр.2.1 &lt; суммы строк (2.2.+2.4+2.6+2.8+2.10+2.12+2.14+2.16+2.18+2.21+2.24) по графе "&amp;P11,"ОК")</f>
        <v>ОК</v>
      </c>
      <c r="P11" s="266" t="str">
        <f>IF(Q11&gt;0,INDEX($F$6:$N$6,1,Q11),CHAR(151))</f>
        <v>—</v>
      </c>
      <c r="Q11" s="416">
        <f>IF(ISERROR(MATCH(FALSE,S11:AA11,0)),0,MATCH(FALSE,S11:AA11,0))</f>
        <v>0</v>
      </c>
      <c r="R11" s="418" t="s">
        <v>787</v>
      </c>
      <c r="S11" s="47" t="b">
        <f>F10&gt;=SUM(F11,F13,F15,F17,F19,F21,F23,F25,F27,F30,F33)</f>
        <v>1</v>
      </c>
      <c r="T11" s="47" t="b">
        <f t="shared" ref="T11:AA11" si="2">G10&gt;=SUM(G11,G13,G15,G17,G19,G21,G23,G25,G27,G30,G33)</f>
        <v>1</v>
      </c>
      <c r="U11" s="47" t="b">
        <f t="shared" si="2"/>
        <v>1</v>
      </c>
      <c r="V11" s="47" t="b">
        <f>I10&gt;=SUM(I11,I13,I15,I17,I19,I21,I23,I25,I27,I30,I33)</f>
        <v>1</v>
      </c>
      <c r="W11" s="47" t="b">
        <f>J10&gt;=SUM(J11,J13,J15,J17,J19,J21,J23,J25,J27,J30,J33)</f>
        <v>1</v>
      </c>
      <c r="X11" s="47" t="b">
        <f t="shared" si="2"/>
        <v>1</v>
      </c>
      <c r="Y11" s="47" t="b">
        <f t="shared" si="2"/>
        <v>1</v>
      </c>
      <c r="Z11" s="47" t="b">
        <f t="shared" si="2"/>
        <v>1</v>
      </c>
      <c r="AA11" s="47" t="b">
        <f t="shared" si="2"/>
        <v>1</v>
      </c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</row>
    <row r="12" spans="1:111" s="5" customFormat="1" ht="16.5" thickBot="1" x14ac:dyDescent="0.3">
      <c r="B12" s="66" t="s">
        <v>182</v>
      </c>
      <c r="C12" s="67" t="s">
        <v>245</v>
      </c>
      <c r="D12" s="865"/>
      <c r="E12" s="92">
        <f t="shared" si="0"/>
        <v>0</v>
      </c>
      <c r="F12" s="152"/>
      <c r="G12" s="152"/>
      <c r="H12" s="152"/>
      <c r="I12" s="92">
        <f t="shared" si="1"/>
        <v>0</v>
      </c>
      <c r="J12" s="92">
        <f t="shared" si="1"/>
        <v>0</v>
      </c>
      <c r="K12" s="152"/>
      <c r="L12" s="152"/>
      <c r="M12" s="152"/>
      <c r="N12" s="155"/>
      <c r="O12" s="417" t="str">
        <f>IF(Q12&gt;0,"стр.2 &lt; стр.2.1 по графе "&amp;P12,"ОК")</f>
        <v>ОК</v>
      </c>
      <c r="P12" s="266" t="str">
        <f>IF(Q12&gt;0,INDEX($F$6:$N$6,1,Q12),CHAR(151))</f>
        <v>—</v>
      </c>
      <c r="Q12" s="416">
        <f>IF(ISERROR(MATCH(FALSE,S12:AA12,0)),0,MATCH(FALSE,S12:AA12,0))</f>
        <v>0</v>
      </c>
      <c r="R12" s="404" t="s">
        <v>788</v>
      </c>
      <c r="S12" s="47" t="b">
        <f>F9&gt;=F10</f>
        <v>1</v>
      </c>
      <c r="T12" s="47" t="b">
        <f t="shared" ref="T12:AA12" si="3">G9&gt;=G10</f>
        <v>1</v>
      </c>
      <c r="U12" s="47" t="b">
        <f t="shared" si="3"/>
        <v>1</v>
      </c>
      <c r="V12" s="47" t="b">
        <f t="shared" si="3"/>
        <v>1</v>
      </c>
      <c r="W12" s="47" t="b">
        <f t="shared" si="3"/>
        <v>1</v>
      </c>
      <c r="X12" s="47" t="b">
        <f t="shared" si="3"/>
        <v>1</v>
      </c>
      <c r="Y12" s="47" t="b">
        <f t="shared" si="3"/>
        <v>1</v>
      </c>
      <c r="Z12" s="47" t="b">
        <f t="shared" si="3"/>
        <v>1</v>
      </c>
      <c r="AA12" s="47" t="b">
        <f t="shared" si="3"/>
        <v>1</v>
      </c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</row>
    <row r="13" spans="1:111" s="5" customFormat="1" ht="16.5" thickBot="1" x14ac:dyDescent="0.3">
      <c r="B13" s="66" t="s">
        <v>183</v>
      </c>
      <c r="C13" s="403" t="s">
        <v>246</v>
      </c>
      <c r="D13" s="847" t="s">
        <v>184</v>
      </c>
      <c r="E13" s="92">
        <f t="shared" si="0"/>
        <v>0</v>
      </c>
      <c r="F13" s="405"/>
      <c r="G13" s="405"/>
      <c r="H13" s="405"/>
      <c r="I13" s="92">
        <f t="shared" si="1"/>
        <v>0</v>
      </c>
      <c r="J13" s="92">
        <f t="shared" si="1"/>
        <v>0</v>
      </c>
      <c r="K13" s="405"/>
      <c r="L13" s="405"/>
      <c r="M13" s="405"/>
      <c r="N13" s="406"/>
      <c r="S13"/>
    </row>
    <row r="14" spans="1:111" s="5" customFormat="1" ht="16.5" thickBot="1" x14ac:dyDescent="0.3">
      <c r="B14" s="66" t="s">
        <v>182</v>
      </c>
      <c r="C14" s="67" t="s">
        <v>247</v>
      </c>
      <c r="D14" s="865"/>
      <c r="E14" s="92">
        <f t="shared" si="0"/>
        <v>0</v>
      </c>
      <c r="F14" s="152"/>
      <c r="G14" s="152"/>
      <c r="H14" s="152"/>
      <c r="I14" s="92">
        <f t="shared" si="1"/>
        <v>0</v>
      </c>
      <c r="J14" s="92">
        <f t="shared" si="1"/>
        <v>0</v>
      </c>
      <c r="K14" s="152"/>
      <c r="L14" s="152"/>
      <c r="M14" s="152"/>
      <c r="N14" s="155"/>
      <c r="S14"/>
    </row>
    <row r="15" spans="1:111" s="5" customFormat="1" ht="16.5" thickBot="1" x14ac:dyDescent="0.3">
      <c r="B15" s="66" t="s">
        <v>185</v>
      </c>
      <c r="C15" s="403" t="s">
        <v>248</v>
      </c>
      <c r="D15" s="847" t="s">
        <v>186</v>
      </c>
      <c r="E15" s="92">
        <f t="shared" si="0"/>
        <v>0</v>
      </c>
      <c r="F15" s="405"/>
      <c r="G15" s="405"/>
      <c r="H15" s="405"/>
      <c r="I15" s="92">
        <f t="shared" si="1"/>
        <v>0</v>
      </c>
      <c r="J15" s="92">
        <f t="shared" si="1"/>
        <v>0</v>
      </c>
      <c r="K15" s="405"/>
      <c r="L15" s="405"/>
      <c r="M15" s="405"/>
      <c r="N15" s="406"/>
      <c r="S15"/>
    </row>
    <row r="16" spans="1:111" s="5" customFormat="1" ht="16.5" thickBot="1" x14ac:dyDescent="0.3">
      <c r="B16" s="66" t="s">
        <v>182</v>
      </c>
      <c r="C16" s="67" t="s">
        <v>249</v>
      </c>
      <c r="D16" s="865"/>
      <c r="E16" s="92">
        <f t="shared" si="0"/>
        <v>0</v>
      </c>
      <c r="F16" s="152"/>
      <c r="G16" s="152"/>
      <c r="H16" s="152"/>
      <c r="I16" s="92">
        <f t="shared" si="1"/>
        <v>0</v>
      </c>
      <c r="J16" s="92">
        <f t="shared" si="1"/>
        <v>0</v>
      </c>
      <c r="K16" s="152"/>
      <c r="L16" s="152"/>
      <c r="M16" s="152"/>
      <c r="N16" s="155"/>
      <c r="S16"/>
    </row>
    <row r="17" spans="2:19" s="5" customFormat="1" ht="16.5" thickBot="1" x14ac:dyDescent="0.3">
      <c r="B17" s="66" t="s">
        <v>187</v>
      </c>
      <c r="C17" s="403" t="s">
        <v>250</v>
      </c>
      <c r="D17" s="847" t="s">
        <v>188</v>
      </c>
      <c r="E17" s="92">
        <f t="shared" si="0"/>
        <v>0</v>
      </c>
      <c r="F17" s="405"/>
      <c r="G17" s="405"/>
      <c r="H17" s="405"/>
      <c r="I17" s="92">
        <f t="shared" si="1"/>
        <v>0</v>
      </c>
      <c r="J17" s="92">
        <f t="shared" si="1"/>
        <v>0</v>
      </c>
      <c r="K17" s="405"/>
      <c r="L17" s="405"/>
      <c r="M17" s="405"/>
      <c r="N17" s="406"/>
      <c r="S17"/>
    </row>
    <row r="18" spans="2:19" s="5" customFormat="1" ht="16.5" thickBot="1" x14ac:dyDescent="0.3">
      <c r="B18" s="66" t="s">
        <v>182</v>
      </c>
      <c r="C18" s="67" t="s">
        <v>251</v>
      </c>
      <c r="D18" s="865"/>
      <c r="E18" s="92">
        <f t="shared" si="0"/>
        <v>0</v>
      </c>
      <c r="F18" s="152"/>
      <c r="G18" s="152"/>
      <c r="H18" s="152"/>
      <c r="I18" s="92">
        <f t="shared" si="1"/>
        <v>0</v>
      </c>
      <c r="J18" s="92">
        <f t="shared" si="1"/>
        <v>0</v>
      </c>
      <c r="K18" s="152"/>
      <c r="L18" s="152"/>
      <c r="M18" s="152"/>
      <c r="N18" s="155"/>
      <c r="S18"/>
    </row>
    <row r="19" spans="2:19" s="5" customFormat="1" ht="16.5" thickBot="1" x14ac:dyDescent="0.3">
      <c r="B19" s="66" t="s">
        <v>189</v>
      </c>
      <c r="C19" s="403" t="s">
        <v>252</v>
      </c>
      <c r="D19" s="847" t="s">
        <v>190</v>
      </c>
      <c r="E19" s="92">
        <f t="shared" si="0"/>
        <v>0</v>
      </c>
      <c r="F19" s="405"/>
      <c r="G19" s="405"/>
      <c r="H19" s="405"/>
      <c r="I19" s="92">
        <f t="shared" si="1"/>
        <v>0</v>
      </c>
      <c r="J19" s="92">
        <f t="shared" si="1"/>
        <v>0</v>
      </c>
      <c r="K19" s="405"/>
      <c r="L19" s="405"/>
      <c r="M19" s="405"/>
      <c r="N19" s="406"/>
      <c r="S19"/>
    </row>
    <row r="20" spans="2:19" s="5" customFormat="1" ht="16.5" thickBot="1" x14ac:dyDescent="0.3">
      <c r="B20" s="66" t="s">
        <v>182</v>
      </c>
      <c r="C20" s="67" t="s">
        <v>253</v>
      </c>
      <c r="D20" s="865"/>
      <c r="E20" s="92">
        <f t="shared" si="0"/>
        <v>0</v>
      </c>
      <c r="F20" s="152"/>
      <c r="G20" s="152"/>
      <c r="H20" s="152"/>
      <c r="I20" s="92">
        <f t="shared" si="1"/>
        <v>0</v>
      </c>
      <c r="J20" s="92">
        <f t="shared" si="1"/>
        <v>0</v>
      </c>
      <c r="K20" s="152"/>
      <c r="L20" s="152"/>
      <c r="M20" s="152"/>
      <c r="N20" s="155"/>
      <c r="S20"/>
    </row>
    <row r="21" spans="2:19" s="5" customFormat="1" ht="48" thickBot="1" x14ac:dyDescent="0.3">
      <c r="B21" s="66" t="s">
        <v>191</v>
      </c>
      <c r="C21" s="403" t="s">
        <v>254</v>
      </c>
      <c r="D21" s="847" t="s">
        <v>192</v>
      </c>
      <c r="E21" s="92">
        <f t="shared" si="0"/>
        <v>0</v>
      </c>
      <c r="F21" s="405"/>
      <c r="G21" s="405"/>
      <c r="H21" s="405"/>
      <c r="I21" s="92">
        <f t="shared" si="1"/>
        <v>0</v>
      </c>
      <c r="J21" s="92">
        <f t="shared" si="1"/>
        <v>0</v>
      </c>
      <c r="K21" s="405"/>
      <c r="L21" s="405"/>
      <c r="M21" s="405"/>
      <c r="N21" s="406"/>
      <c r="S21"/>
    </row>
    <row r="22" spans="2:19" s="5" customFormat="1" ht="16.5" thickBot="1" x14ac:dyDescent="0.3">
      <c r="B22" s="68" t="s">
        <v>182</v>
      </c>
      <c r="C22" s="67" t="s">
        <v>255</v>
      </c>
      <c r="D22" s="865"/>
      <c r="E22" s="92">
        <f t="shared" si="0"/>
        <v>0</v>
      </c>
      <c r="F22" s="153"/>
      <c r="G22" s="153"/>
      <c r="H22" s="153"/>
      <c r="I22" s="92">
        <f t="shared" si="1"/>
        <v>0</v>
      </c>
      <c r="J22" s="92">
        <f t="shared" si="1"/>
        <v>0</v>
      </c>
      <c r="K22" s="153"/>
      <c r="L22" s="153"/>
      <c r="M22" s="153"/>
      <c r="N22" s="156"/>
      <c r="S22"/>
    </row>
    <row r="23" spans="2:19" s="5" customFormat="1" ht="16.5" thickBot="1" x14ac:dyDescent="0.3">
      <c r="B23" s="69" t="s">
        <v>193</v>
      </c>
      <c r="C23" s="403" t="s">
        <v>256</v>
      </c>
      <c r="D23" s="70" t="s">
        <v>194</v>
      </c>
      <c r="E23" s="92">
        <f t="shared" si="0"/>
        <v>0</v>
      </c>
      <c r="F23" s="407"/>
      <c r="G23" s="407"/>
      <c r="H23" s="407"/>
      <c r="I23" s="92">
        <f t="shared" si="1"/>
        <v>0</v>
      </c>
      <c r="J23" s="92">
        <f t="shared" si="1"/>
        <v>0</v>
      </c>
      <c r="K23" s="407"/>
      <c r="L23" s="407"/>
      <c r="M23" s="407"/>
      <c r="N23" s="408"/>
      <c r="S23"/>
    </row>
    <row r="24" spans="2:19" s="5" customFormat="1" ht="16.5" thickBot="1" x14ac:dyDescent="0.3">
      <c r="B24" s="66" t="s">
        <v>182</v>
      </c>
      <c r="C24" s="67" t="s">
        <v>257</v>
      </c>
      <c r="D24" s="71" t="s">
        <v>195</v>
      </c>
      <c r="E24" s="92">
        <f t="shared" si="0"/>
        <v>0</v>
      </c>
      <c r="F24" s="152"/>
      <c r="G24" s="152"/>
      <c r="H24" s="152"/>
      <c r="I24" s="92">
        <f t="shared" si="1"/>
        <v>0</v>
      </c>
      <c r="J24" s="92">
        <f t="shared" si="1"/>
        <v>0</v>
      </c>
      <c r="K24" s="152"/>
      <c r="L24" s="152"/>
      <c r="M24" s="152"/>
      <c r="N24" s="155"/>
      <c r="S24"/>
    </row>
    <row r="25" spans="2:19" s="5" customFormat="1" ht="16.5" thickBot="1" x14ac:dyDescent="0.3">
      <c r="B25" s="66" t="s">
        <v>196</v>
      </c>
      <c r="C25" s="403" t="s">
        <v>258</v>
      </c>
      <c r="D25" s="70" t="s">
        <v>197</v>
      </c>
      <c r="E25" s="92">
        <f t="shared" si="0"/>
        <v>0</v>
      </c>
      <c r="F25" s="405"/>
      <c r="G25" s="405"/>
      <c r="H25" s="405"/>
      <c r="I25" s="92">
        <f t="shared" si="1"/>
        <v>0</v>
      </c>
      <c r="J25" s="92">
        <f t="shared" si="1"/>
        <v>0</v>
      </c>
      <c r="K25" s="405"/>
      <c r="L25" s="405"/>
      <c r="M25" s="405"/>
      <c r="N25" s="406"/>
      <c r="S25"/>
    </row>
    <row r="26" spans="2:19" s="5" customFormat="1" ht="16.5" thickBot="1" x14ac:dyDescent="0.3">
      <c r="B26" s="66" t="s">
        <v>182</v>
      </c>
      <c r="C26" s="67" t="s">
        <v>259</v>
      </c>
      <c r="D26" s="71" t="s">
        <v>198</v>
      </c>
      <c r="E26" s="92">
        <f t="shared" si="0"/>
        <v>0</v>
      </c>
      <c r="F26" s="152"/>
      <c r="G26" s="152"/>
      <c r="H26" s="152"/>
      <c r="I26" s="92">
        <f t="shared" si="1"/>
        <v>0</v>
      </c>
      <c r="J26" s="92">
        <f t="shared" si="1"/>
        <v>0</v>
      </c>
      <c r="K26" s="152"/>
      <c r="L26" s="152"/>
      <c r="M26" s="152"/>
      <c r="N26" s="155"/>
      <c r="S26"/>
    </row>
    <row r="27" spans="2:19" s="5" customFormat="1" ht="16.5" thickBot="1" x14ac:dyDescent="0.3">
      <c r="B27" s="66" t="s">
        <v>199</v>
      </c>
      <c r="C27" s="403" t="s">
        <v>260</v>
      </c>
      <c r="D27" s="847" t="s">
        <v>200</v>
      </c>
      <c r="E27" s="92">
        <f t="shared" si="0"/>
        <v>4</v>
      </c>
      <c r="F27" s="405">
        <v>4</v>
      </c>
      <c r="G27" s="405"/>
      <c r="H27" s="405">
        <v>4</v>
      </c>
      <c r="I27" s="92">
        <f t="shared" si="1"/>
        <v>0</v>
      </c>
      <c r="J27" s="92">
        <f t="shared" si="1"/>
        <v>0</v>
      </c>
      <c r="K27" s="405"/>
      <c r="L27" s="405"/>
      <c r="M27" s="405"/>
      <c r="N27" s="406"/>
      <c r="S27"/>
    </row>
    <row r="28" spans="2:19" s="5" customFormat="1" ht="16.5" thickBot="1" x14ac:dyDescent="0.3">
      <c r="B28" s="66" t="s">
        <v>201</v>
      </c>
      <c r="C28" s="67" t="s">
        <v>261</v>
      </c>
      <c r="D28" s="848"/>
      <c r="E28" s="92">
        <f t="shared" si="0"/>
        <v>2</v>
      </c>
      <c r="F28" s="152">
        <v>2</v>
      </c>
      <c r="G28" s="152"/>
      <c r="H28" s="152">
        <v>2</v>
      </c>
      <c r="I28" s="92">
        <f t="shared" si="1"/>
        <v>0</v>
      </c>
      <c r="J28" s="92">
        <f t="shared" si="1"/>
        <v>0</v>
      </c>
      <c r="K28" s="152"/>
      <c r="L28" s="152"/>
      <c r="M28" s="152"/>
      <c r="N28" s="155"/>
      <c r="S28"/>
    </row>
    <row r="29" spans="2:19" s="5" customFormat="1" ht="16.5" thickBot="1" x14ac:dyDescent="0.3">
      <c r="B29" s="66" t="s">
        <v>202</v>
      </c>
      <c r="C29" s="67" t="s">
        <v>262</v>
      </c>
      <c r="D29" s="865"/>
      <c r="E29" s="92">
        <f t="shared" si="0"/>
        <v>2</v>
      </c>
      <c r="F29" s="152">
        <v>2</v>
      </c>
      <c r="G29" s="152"/>
      <c r="H29" s="152">
        <v>2</v>
      </c>
      <c r="I29" s="92">
        <f t="shared" si="1"/>
        <v>0</v>
      </c>
      <c r="J29" s="92">
        <f t="shared" si="1"/>
        <v>0</v>
      </c>
      <c r="K29" s="152"/>
      <c r="L29" s="152"/>
      <c r="M29" s="152"/>
      <c r="N29" s="155"/>
      <c r="S29"/>
    </row>
    <row r="30" spans="2:19" s="5" customFormat="1" ht="16.5" thickBot="1" x14ac:dyDescent="0.3">
      <c r="B30" s="66" t="s">
        <v>203</v>
      </c>
      <c r="C30" s="403" t="s">
        <v>263</v>
      </c>
      <c r="D30" s="847" t="s">
        <v>204</v>
      </c>
      <c r="E30" s="92">
        <f t="shared" si="0"/>
        <v>0</v>
      </c>
      <c r="F30" s="405"/>
      <c r="G30" s="405"/>
      <c r="H30" s="405"/>
      <c r="I30" s="92">
        <f t="shared" si="1"/>
        <v>0</v>
      </c>
      <c r="J30" s="92">
        <f t="shared" si="1"/>
        <v>0</v>
      </c>
      <c r="K30" s="405"/>
      <c r="L30" s="405"/>
      <c r="M30" s="405"/>
      <c r="N30" s="406"/>
      <c r="S30"/>
    </row>
    <row r="31" spans="2:19" s="5" customFormat="1" ht="16.5" thickBot="1" x14ac:dyDescent="0.3">
      <c r="B31" s="66" t="s">
        <v>201</v>
      </c>
      <c r="C31" s="67" t="s">
        <v>264</v>
      </c>
      <c r="D31" s="848"/>
      <c r="E31" s="92">
        <f t="shared" si="0"/>
        <v>0</v>
      </c>
      <c r="F31" s="152"/>
      <c r="G31" s="152"/>
      <c r="H31" s="152"/>
      <c r="I31" s="92">
        <f t="shared" si="1"/>
        <v>0</v>
      </c>
      <c r="J31" s="92">
        <f t="shared" si="1"/>
        <v>0</v>
      </c>
      <c r="K31" s="152"/>
      <c r="L31" s="152"/>
      <c r="M31" s="152"/>
      <c r="N31" s="155"/>
      <c r="S31"/>
    </row>
    <row r="32" spans="2:19" s="5" customFormat="1" ht="16.5" thickBot="1" x14ac:dyDescent="0.3">
      <c r="B32" s="66" t="s">
        <v>202</v>
      </c>
      <c r="C32" s="67" t="s">
        <v>265</v>
      </c>
      <c r="D32" s="865"/>
      <c r="E32" s="92">
        <f t="shared" si="0"/>
        <v>0</v>
      </c>
      <c r="F32" s="152"/>
      <c r="G32" s="152"/>
      <c r="H32" s="152"/>
      <c r="I32" s="92">
        <f t="shared" si="1"/>
        <v>0</v>
      </c>
      <c r="J32" s="92">
        <f t="shared" si="1"/>
        <v>0</v>
      </c>
      <c r="K32" s="152"/>
      <c r="L32" s="152"/>
      <c r="M32" s="152"/>
      <c r="N32" s="155"/>
      <c r="S32"/>
    </row>
    <row r="33" spans="2:27" s="5" customFormat="1" ht="16.5" thickBot="1" x14ac:dyDescent="0.3">
      <c r="B33" s="66" t="s">
        <v>205</v>
      </c>
      <c r="C33" s="403" t="s">
        <v>266</v>
      </c>
      <c r="D33" s="847" t="s">
        <v>206</v>
      </c>
      <c r="E33" s="92">
        <f t="shared" si="0"/>
        <v>1</v>
      </c>
      <c r="F33" s="405">
        <v>1</v>
      </c>
      <c r="G33" s="405"/>
      <c r="H33" s="405">
        <v>1</v>
      </c>
      <c r="I33" s="92">
        <f t="shared" si="1"/>
        <v>0</v>
      </c>
      <c r="J33" s="92">
        <f t="shared" si="1"/>
        <v>0</v>
      </c>
      <c r="K33" s="405"/>
      <c r="L33" s="405"/>
      <c r="M33" s="405"/>
      <c r="N33" s="406"/>
      <c r="S33"/>
    </row>
    <row r="34" spans="2:27" s="5" customFormat="1" ht="16.5" thickBot="1" x14ac:dyDescent="0.3">
      <c r="B34" s="68" t="s">
        <v>182</v>
      </c>
      <c r="C34" s="67" t="s">
        <v>470</v>
      </c>
      <c r="D34" s="865"/>
      <c r="E34" s="92">
        <f t="shared" si="0"/>
        <v>1</v>
      </c>
      <c r="F34" s="153">
        <v>1</v>
      </c>
      <c r="G34" s="153"/>
      <c r="H34" s="153">
        <v>1</v>
      </c>
      <c r="I34" s="92">
        <f t="shared" si="1"/>
        <v>0</v>
      </c>
      <c r="J34" s="92">
        <f t="shared" si="1"/>
        <v>0</v>
      </c>
      <c r="K34" s="153"/>
      <c r="L34" s="153"/>
      <c r="M34" s="153"/>
      <c r="N34" s="156"/>
      <c r="S34"/>
    </row>
    <row r="35" spans="2:27" ht="48" thickBot="1" x14ac:dyDescent="0.3">
      <c r="B35" s="72" t="s">
        <v>339</v>
      </c>
      <c r="C35" s="67" t="s">
        <v>340</v>
      </c>
      <c r="D35" s="73" t="s">
        <v>341</v>
      </c>
      <c r="E35" s="92">
        <f t="shared" si="0"/>
        <v>0</v>
      </c>
      <c r="F35" s="152"/>
      <c r="G35" s="152"/>
      <c r="H35" s="152"/>
      <c r="I35" s="92">
        <f t="shared" si="1"/>
        <v>0</v>
      </c>
      <c r="J35" s="92">
        <f t="shared" si="1"/>
        <v>0</v>
      </c>
      <c r="K35" s="152"/>
      <c r="L35" s="152"/>
      <c r="M35" s="152"/>
      <c r="N35" s="155"/>
      <c r="O35" s="417" t="str">
        <f>IF(Q35&gt;0,"стр.3 &lt; стр.3.1 по графе "&amp;P35,"ОК")</f>
        <v>ОК</v>
      </c>
      <c r="P35" s="266" t="str">
        <f>IF(Q35&gt;0,INDEX($F$6:$N$6,1,Q35),CHAR(151))</f>
        <v>—</v>
      </c>
      <c r="Q35" s="416">
        <f>IF(ISERROR(MATCH(FALSE,S35:AA35,0)),0,MATCH(FALSE,S35:AA35,0))</f>
        <v>0</v>
      </c>
      <c r="R35" s="419" t="s">
        <v>792</v>
      </c>
      <c r="S35" s="47" t="b">
        <f>F35&gt;=F36</f>
        <v>1</v>
      </c>
      <c r="T35" s="47" t="b">
        <f t="shared" ref="T35:AA35" si="4">G35&gt;=G36</f>
        <v>1</v>
      </c>
      <c r="U35" s="47" t="b">
        <f t="shared" si="4"/>
        <v>1</v>
      </c>
      <c r="V35" s="47" t="b">
        <f t="shared" si="4"/>
        <v>1</v>
      </c>
      <c r="W35" s="47" t="b">
        <f t="shared" si="4"/>
        <v>1</v>
      </c>
      <c r="X35" s="47" t="b">
        <f t="shared" si="4"/>
        <v>1</v>
      </c>
      <c r="Y35" s="47" t="b">
        <f t="shared" si="4"/>
        <v>1</v>
      </c>
      <c r="Z35" s="47" t="b">
        <f t="shared" si="4"/>
        <v>1</v>
      </c>
      <c r="AA35" s="47" t="b">
        <f t="shared" si="4"/>
        <v>1</v>
      </c>
    </row>
    <row r="36" spans="2:27" ht="48" thickBot="1" x14ac:dyDescent="0.3">
      <c r="B36" s="58" t="s">
        <v>342</v>
      </c>
      <c r="C36" s="67" t="s">
        <v>267</v>
      </c>
      <c r="D36" s="74" t="s">
        <v>343</v>
      </c>
      <c r="E36" s="92">
        <f t="shared" si="0"/>
        <v>0</v>
      </c>
      <c r="F36" s="151"/>
      <c r="G36" s="151"/>
      <c r="H36" s="151"/>
      <c r="I36" s="92">
        <f t="shared" si="1"/>
        <v>0</v>
      </c>
      <c r="J36" s="92">
        <f t="shared" si="1"/>
        <v>0</v>
      </c>
      <c r="K36" s="151"/>
      <c r="L36" s="151"/>
      <c r="M36" s="151"/>
      <c r="N36" s="151"/>
    </row>
    <row r="37" spans="2:27" ht="48" thickBot="1" x14ac:dyDescent="0.3">
      <c r="B37" s="61" t="s">
        <v>344</v>
      </c>
      <c r="C37" s="67" t="s">
        <v>345</v>
      </c>
      <c r="D37" s="73" t="s">
        <v>346</v>
      </c>
      <c r="E37" s="92">
        <f t="shared" si="0"/>
        <v>254</v>
      </c>
      <c r="F37" s="152">
        <v>62</v>
      </c>
      <c r="G37" s="152">
        <v>80</v>
      </c>
      <c r="H37" s="152">
        <v>174</v>
      </c>
      <c r="I37" s="92">
        <f t="shared" si="1"/>
        <v>1</v>
      </c>
      <c r="J37" s="92">
        <f t="shared" si="1"/>
        <v>1</v>
      </c>
      <c r="K37" s="152">
        <v>1</v>
      </c>
      <c r="L37" s="152">
        <v>1</v>
      </c>
      <c r="M37" s="152"/>
      <c r="N37" s="155"/>
      <c r="O37" s="417" t="str">
        <f>IF(Q37&gt;0,"стр.4 &lt; суммы строк(4.1+4.3+4.4) по графе "&amp;P37,"ОК")</f>
        <v>ОК</v>
      </c>
      <c r="P37" s="266" t="str">
        <f>IF(Q37&gt;0,INDEX($F$6:$N$6,1,Q37),CHAR(151))</f>
        <v>—</v>
      </c>
      <c r="Q37" s="416">
        <f>IF(ISERROR(MATCH(FALSE,S37:AA37,0)),0,MATCH(FALSE,S37:AA37,0))</f>
        <v>0</v>
      </c>
      <c r="R37" s="419" t="s">
        <v>793</v>
      </c>
      <c r="S37" s="47" t="b">
        <f>F37&gt;=SUM(F38,F40:F41)</f>
        <v>1</v>
      </c>
      <c r="T37" s="47" t="b">
        <f t="shared" ref="T37:AA37" si="5">G37&gt;=SUM(G38,G40:G41)</f>
        <v>1</v>
      </c>
      <c r="U37" s="47" t="b">
        <f t="shared" si="5"/>
        <v>1</v>
      </c>
      <c r="V37" s="47" t="b">
        <f t="shared" si="5"/>
        <v>1</v>
      </c>
      <c r="W37" s="47" t="b">
        <f t="shared" si="5"/>
        <v>1</v>
      </c>
      <c r="X37" s="47" t="b">
        <f t="shared" si="5"/>
        <v>1</v>
      </c>
      <c r="Y37" s="47" t="b">
        <f t="shared" si="5"/>
        <v>1</v>
      </c>
      <c r="Z37" s="47" t="b">
        <f t="shared" si="5"/>
        <v>1</v>
      </c>
      <c r="AA37" s="47" t="b">
        <f t="shared" si="5"/>
        <v>1</v>
      </c>
    </row>
    <row r="38" spans="2:27" s="5" customFormat="1" ht="16.5" thickBot="1" x14ac:dyDescent="0.3">
      <c r="B38" s="66" t="s">
        <v>207</v>
      </c>
      <c r="C38" s="67" t="s">
        <v>471</v>
      </c>
      <c r="D38" s="70" t="s">
        <v>208</v>
      </c>
      <c r="E38" s="92">
        <f t="shared" si="0"/>
        <v>62</v>
      </c>
      <c r="F38" s="152">
        <v>62</v>
      </c>
      <c r="G38" s="152">
        <v>10</v>
      </c>
      <c r="H38" s="152">
        <v>52</v>
      </c>
      <c r="I38" s="92">
        <f t="shared" si="1"/>
        <v>1</v>
      </c>
      <c r="J38" s="92">
        <f t="shared" si="1"/>
        <v>1</v>
      </c>
      <c r="K38" s="92">
        <f>'ДВН-124н'!$P$8-M38</f>
        <v>1</v>
      </c>
      <c r="L38" s="92">
        <f>'ДВН-124н'!$P$19</f>
        <v>1</v>
      </c>
      <c r="M38" s="92">
        <f>'ДВН-124н'!$P$17</f>
        <v>0</v>
      </c>
      <c r="N38" s="92">
        <f>'ДВН-124н'!$P$20</f>
        <v>0</v>
      </c>
      <c r="S38"/>
    </row>
    <row r="39" spans="2:27" s="5" customFormat="1" ht="32.25" thickBot="1" x14ac:dyDescent="0.3">
      <c r="B39" s="66" t="s">
        <v>209</v>
      </c>
      <c r="C39" s="67" t="s">
        <v>348</v>
      </c>
      <c r="D39" s="39" t="s">
        <v>210</v>
      </c>
      <c r="E39" s="92">
        <f t="shared" si="0"/>
        <v>62</v>
      </c>
      <c r="F39" s="152">
        <v>62</v>
      </c>
      <c r="G39" s="152">
        <v>10</v>
      </c>
      <c r="H39" s="152">
        <v>52</v>
      </c>
      <c r="I39" s="92">
        <f t="shared" si="1"/>
        <v>1</v>
      </c>
      <c r="J39" s="92">
        <f t="shared" si="1"/>
        <v>1</v>
      </c>
      <c r="K39" s="152">
        <v>1</v>
      </c>
      <c r="L39" s="152">
        <v>1</v>
      </c>
      <c r="M39" s="152"/>
      <c r="N39" s="155"/>
      <c r="S39"/>
    </row>
    <row r="40" spans="2:27" ht="16.5" thickBot="1" x14ac:dyDescent="0.3">
      <c r="B40" s="75" t="s">
        <v>347</v>
      </c>
      <c r="C40" s="67" t="s">
        <v>351</v>
      </c>
      <c r="D40" s="76" t="s">
        <v>349</v>
      </c>
      <c r="E40" s="92">
        <f t="shared" si="0"/>
        <v>172</v>
      </c>
      <c r="F40" s="151"/>
      <c r="G40" s="151">
        <v>67</v>
      </c>
      <c r="H40" s="151">
        <v>105</v>
      </c>
      <c r="I40" s="92">
        <f t="shared" si="1"/>
        <v>0</v>
      </c>
      <c r="J40" s="92">
        <f t="shared" si="1"/>
        <v>0</v>
      </c>
      <c r="K40" s="151"/>
      <c r="L40" s="151"/>
      <c r="M40" s="151"/>
      <c r="N40" s="151"/>
    </row>
    <row r="41" spans="2:27" ht="32.25" thickBot="1" x14ac:dyDescent="0.3">
      <c r="B41" s="58" t="s">
        <v>350</v>
      </c>
      <c r="C41" s="67" t="s">
        <v>472</v>
      </c>
      <c r="D41" s="74" t="s">
        <v>129</v>
      </c>
      <c r="E41" s="92">
        <f t="shared" si="0"/>
        <v>9</v>
      </c>
      <c r="F41" s="151"/>
      <c r="G41" s="151">
        <v>3</v>
      </c>
      <c r="H41" s="151">
        <v>6</v>
      </c>
      <c r="I41" s="92">
        <f t="shared" si="1"/>
        <v>0</v>
      </c>
      <c r="J41" s="92">
        <f t="shared" si="1"/>
        <v>0</v>
      </c>
      <c r="K41" s="151"/>
      <c r="L41" s="151"/>
      <c r="M41" s="151"/>
      <c r="N41" s="151"/>
    </row>
    <row r="42" spans="2:27" ht="30.75" thickBot="1" x14ac:dyDescent="0.3">
      <c r="B42" s="61" t="s">
        <v>352</v>
      </c>
      <c r="C42" s="67" t="s">
        <v>353</v>
      </c>
      <c r="D42" s="73" t="s">
        <v>354</v>
      </c>
      <c r="E42" s="92">
        <f t="shared" si="0"/>
        <v>141</v>
      </c>
      <c r="F42" s="152">
        <v>20</v>
      </c>
      <c r="G42" s="152">
        <v>47</v>
      </c>
      <c r="H42" s="152">
        <v>94</v>
      </c>
      <c r="I42" s="92">
        <f t="shared" si="1"/>
        <v>0</v>
      </c>
      <c r="J42" s="92">
        <f t="shared" si="1"/>
        <v>0</v>
      </c>
      <c r="K42" s="152"/>
      <c r="L42" s="152"/>
      <c r="M42" s="152"/>
      <c r="N42" s="155"/>
      <c r="O42" s="417" t="str">
        <f>IF(Q42&gt;0,"стр.5 &lt; стр.5.1 по графе "&amp;P42,"ОК")</f>
        <v>ОК</v>
      </c>
      <c r="P42" s="266" t="str">
        <f>IF(Q42&gt;0,INDEX($F$6:$N$6,1,Q42),CHAR(151))</f>
        <v>—</v>
      </c>
      <c r="Q42" s="416">
        <f>IF(ISERROR(MATCH(FALSE,S42:AA42,0)),0,MATCH(FALSE,S42:AA42,0))</f>
        <v>0</v>
      </c>
      <c r="R42" s="419" t="s">
        <v>794</v>
      </c>
      <c r="S42" s="47" t="b">
        <f>F42&gt;=F43</f>
        <v>1</v>
      </c>
      <c r="T42" s="47" t="b">
        <f t="shared" ref="T42:AA42" si="6">G42&gt;=G43</f>
        <v>1</v>
      </c>
      <c r="U42" s="47" t="b">
        <f t="shared" si="6"/>
        <v>1</v>
      </c>
      <c r="V42" s="47" t="b">
        <f t="shared" si="6"/>
        <v>1</v>
      </c>
      <c r="W42" s="47" t="b">
        <f t="shared" si="6"/>
        <v>1</v>
      </c>
      <c r="X42" s="47" t="b">
        <f t="shared" si="6"/>
        <v>1</v>
      </c>
      <c r="Y42" s="47" t="b">
        <f t="shared" si="6"/>
        <v>1</v>
      </c>
      <c r="Z42" s="47" t="b">
        <f t="shared" si="6"/>
        <v>1</v>
      </c>
      <c r="AA42" s="47" t="b">
        <f t="shared" si="6"/>
        <v>1</v>
      </c>
    </row>
    <row r="43" spans="2:27" s="5" customFormat="1" ht="48" thickBot="1" x14ac:dyDescent="0.3">
      <c r="B43" s="66" t="s">
        <v>211</v>
      </c>
      <c r="C43" s="67" t="s">
        <v>473</v>
      </c>
      <c r="D43" s="95" t="s">
        <v>212</v>
      </c>
      <c r="E43" s="92">
        <f t="shared" si="0"/>
        <v>0</v>
      </c>
      <c r="F43" s="152"/>
      <c r="G43" s="152"/>
      <c r="H43" s="152"/>
      <c r="I43" s="92">
        <f t="shared" si="1"/>
        <v>0</v>
      </c>
      <c r="J43" s="92">
        <f t="shared" si="1"/>
        <v>0</v>
      </c>
      <c r="K43" s="152"/>
      <c r="L43" s="152"/>
      <c r="M43" s="152"/>
      <c r="N43" s="155"/>
      <c r="S43"/>
    </row>
    <row r="44" spans="2:27" ht="45.75" thickBot="1" x14ac:dyDescent="0.3">
      <c r="B44" s="61" t="s">
        <v>355</v>
      </c>
      <c r="C44" s="67" t="s">
        <v>356</v>
      </c>
      <c r="D44" s="73" t="s">
        <v>357</v>
      </c>
      <c r="E44" s="92">
        <f t="shared" si="0"/>
        <v>0</v>
      </c>
      <c r="F44" s="151"/>
      <c r="G44" s="151"/>
      <c r="H44" s="151"/>
      <c r="I44" s="92">
        <f t="shared" si="1"/>
        <v>0</v>
      </c>
      <c r="J44" s="92">
        <f t="shared" si="1"/>
        <v>0</v>
      </c>
      <c r="K44" s="151"/>
      <c r="L44" s="151"/>
      <c r="M44" s="151"/>
      <c r="N44" s="151"/>
      <c r="O44" s="417" t="str">
        <f>IF(Q44&gt;0,"стр.6 &lt; суммы строк(6.1+6.2+6.3) по графе "&amp;P44,"ОК")</f>
        <v>ОК</v>
      </c>
      <c r="P44" s="266" t="str">
        <f>IF(Q44&gt;0,INDEX($F$6:$N$6,1,Q44),CHAR(151))</f>
        <v>—</v>
      </c>
      <c r="Q44" s="416">
        <f>IF(ISERROR(MATCH(FALSE,S44:AA44,0)),0,MATCH(FALSE,S44:AA44,0))</f>
        <v>0</v>
      </c>
      <c r="R44" s="419" t="s">
        <v>795</v>
      </c>
      <c r="S44" s="47" t="b">
        <f t="shared" ref="S44:AA44" si="7">F44&gt;=SUM(F45:F47)</f>
        <v>1</v>
      </c>
      <c r="T44" s="47" t="b">
        <f t="shared" si="7"/>
        <v>1</v>
      </c>
      <c r="U44" s="47" t="b">
        <f t="shared" si="7"/>
        <v>1</v>
      </c>
      <c r="V44" s="47" t="b">
        <f t="shared" si="7"/>
        <v>1</v>
      </c>
      <c r="W44" s="47" t="b">
        <f t="shared" si="7"/>
        <v>1</v>
      </c>
      <c r="X44" s="47" t="b">
        <f t="shared" si="7"/>
        <v>1</v>
      </c>
      <c r="Y44" s="47" t="b">
        <f t="shared" si="7"/>
        <v>1</v>
      </c>
      <c r="Z44" s="47" t="b">
        <f t="shared" si="7"/>
        <v>1</v>
      </c>
      <c r="AA44" s="47" t="b">
        <f t="shared" si="7"/>
        <v>1</v>
      </c>
    </row>
    <row r="45" spans="2:27" s="5" customFormat="1" ht="16.5" thickBot="1" x14ac:dyDescent="0.3">
      <c r="B45" s="66" t="s">
        <v>213</v>
      </c>
      <c r="C45" s="67" t="s">
        <v>293</v>
      </c>
      <c r="D45" s="39" t="s">
        <v>275</v>
      </c>
      <c r="E45" s="92">
        <f t="shared" si="0"/>
        <v>0</v>
      </c>
      <c r="F45" s="155"/>
      <c r="G45" s="155"/>
      <c r="H45" s="155"/>
      <c r="I45" s="92">
        <f t="shared" si="1"/>
        <v>0</v>
      </c>
      <c r="J45" s="92">
        <f t="shared" si="1"/>
        <v>0</v>
      </c>
      <c r="K45" s="155"/>
      <c r="L45" s="155"/>
      <c r="M45" s="155"/>
      <c r="N45" s="155"/>
      <c r="S45"/>
    </row>
    <row r="46" spans="2:27" s="5" customFormat="1" ht="16.5" thickBot="1" x14ac:dyDescent="0.3">
      <c r="B46" s="66" t="s">
        <v>214</v>
      </c>
      <c r="C46" s="67" t="s">
        <v>294</v>
      </c>
      <c r="D46" s="39" t="s">
        <v>215</v>
      </c>
      <c r="E46" s="92">
        <f t="shared" si="0"/>
        <v>0</v>
      </c>
      <c r="F46" s="152"/>
      <c r="G46" s="152"/>
      <c r="H46" s="152"/>
      <c r="I46" s="92">
        <f t="shared" si="1"/>
        <v>0</v>
      </c>
      <c r="J46" s="92">
        <f t="shared" si="1"/>
        <v>0</v>
      </c>
      <c r="K46" s="402">
        <f>'ДВН-124н'!$R$8-M46</f>
        <v>0</v>
      </c>
      <c r="L46" s="92">
        <f>'ДВН-124н'!$R$19</f>
        <v>0</v>
      </c>
      <c r="M46" s="92">
        <f>'ДВН-124н'!$R$17</f>
        <v>0</v>
      </c>
      <c r="N46" s="92">
        <f>'ДВН-124н'!$R$20</f>
        <v>0</v>
      </c>
      <c r="S46"/>
    </row>
    <row r="47" spans="2:27" s="5" customFormat="1" ht="16.5" thickBot="1" x14ac:dyDescent="0.3">
      <c r="B47" s="68" t="s">
        <v>216</v>
      </c>
      <c r="C47" s="465" t="s">
        <v>295</v>
      </c>
      <c r="D47" s="460" t="s">
        <v>217</v>
      </c>
      <c r="E47" s="92">
        <f t="shared" si="0"/>
        <v>0</v>
      </c>
      <c r="F47" s="153"/>
      <c r="G47" s="153"/>
      <c r="H47" s="153"/>
      <c r="I47" s="92">
        <f t="shared" si="1"/>
        <v>0</v>
      </c>
      <c r="J47" s="92">
        <f t="shared" si="1"/>
        <v>0</v>
      </c>
      <c r="K47" s="153"/>
      <c r="L47" s="153"/>
      <c r="M47" s="153"/>
      <c r="N47" s="156"/>
      <c r="S47"/>
    </row>
    <row r="48" spans="2:27" ht="45.75" thickBot="1" x14ac:dyDescent="0.3">
      <c r="B48" s="61" t="s">
        <v>358</v>
      </c>
      <c r="C48" s="462" t="s">
        <v>359</v>
      </c>
      <c r="D48" s="63" t="s">
        <v>360</v>
      </c>
      <c r="E48" s="463">
        <f t="shared" si="0"/>
        <v>1155</v>
      </c>
      <c r="F48" s="464">
        <v>641</v>
      </c>
      <c r="G48" s="464">
        <v>201</v>
      </c>
      <c r="H48" s="464">
        <v>954</v>
      </c>
      <c r="I48" s="463">
        <f t="shared" si="1"/>
        <v>3</v>
      </c>
      <c r="J48" s="463">
        <f t="shared" si="1"/>
        <v>3</v>
      </c>
      <c r="K48" s="402">
        <f>'ДВН-124н'!$M$8-$M$48</f>
        <v>3</v>
      </c>
      <c r="L48" s="92">
        <f>'ДВН-124н'!$M$19</f>
        <v>3</v>
      </c>
      <c r="M48" s="92">
        <f>'ДВН-124н'!$M$17</f>
        <v>0</v>
      </c>
      <c r="N48" s="92">
        <f>'ДВН-124н'!$M$20</f>
        <v>0</v>
      </c>
      <c r="O48" s="417" t="str">
        <f>IF(Q48&gt;0,"стр.7 &lt; суммы строк(7.1+7.2+7.4+7.6) по графе "&amp;P48,"ОК")</f>
        <v>ОК</v>
      </c>
      <c r="P48" s="266" t="str">
        <f>IF(Q48&gt;0,INDEX($F$6:$N$6,1,Q48),CHAR(151))</f>
        <v>—</v>
      </c>
      <c r="Q48" s="416">
        <f>IF(ISERROR(MATCH(FALSE,S48:AA48,0)),0,MATCH(FALSE,S48:AA48,0))</f>
        <v>0</v>
      </c>
      <c r="R48" s="419" t="s">
        <v>796</v>
      </c>
      <c r="S48" s="47" t="b">
        <f>F48&gt;=SUM(F49:F50,F55,F59)</f>
        <v>1</v>
      </c>
      <c r="T48" s="47" t="b">
        <f t="shared" ref="T48:AA48" si="8">G48&gt;=SUM(G49:G50,G55,G59)</f>
        <v>1</v>
      </c>
      <c r="U48" s="47" t="b">
        <f t="shared" si="8"/>
        <v>1</v>
      </c>
      <c r="V48" s="47" t="b">
        <f t="shared" si="8"/>
        <v>1</v>
      </c>
      <c r="W48" s="47" t="b">
        <f t="shared" si="8"/>
        <v>1</v>
      </c>
      <c r="X48" s="47" t="b">
        <f t="shared" si="8"/>
        <v>1</v>
      </c>
      <c r="Y48" s="47" t="b">
        <f t="shared" si="8"/>
        <v>1</v>
      </c>
      <c r="Z48" s="47" t="b">
        <f t="shared" si="8"/>
        <v>1</v>
      </c>
      <c r="AA48" s="47" t="b">
        <f t="shared" si="8"/>
        <v>1</v>
      </c>
    </row>
    <row r="49" spans="2:27" s="5" customFormat="1" ht="32.25" thickBot="1" x14ac:dyDescent="0.3">
      <c r="B49" s="66" t="s">
        <v>222</v>
      </c>
      <c r="C49" s="67" t="s">
        <v>474</v>
      </c>
      <c r="D49" s="39" t="s">
        <v>223</v>
      </c>
      <c r="E49" s="92">
        <f t="shared" si="0"/>
        <v>395</v>
      </c>
      <c r="F49" s="152">
        <v>352</v>
      </c>
      <c r="G49" s="152">
        <v>98</v>
      </c>
      <c r="H49" s="152">
        <v>297</v>
      </c>
      <c r="I49" s="92">
        <f t="shared" si="1"/>
        <v>3</v>
      </c>
      <c r="J49" s="92">
        <f t="shared" si="1"/>
        <v>3</v>
      </c>
      <c r="K49" s="152">
        <v>3</v>
      </c>
      <c r="L49" s="152">
        <v>3</v>
      </c>
      <c r="M49" s="152"/>
      <c r="N49" s="155"/>
      <c r="S49"/>
    </row>
    <row r="50" spans="2:27" s="5" customFormat="1" ht="16.5" thickBot="1" x14ac:dyDescent="0.3">
      <c r="B50" s="66" t="s">
        <v>224</v>
      </c>
      <c r="C50" s="67" t="s">
        <v>475</v>
      </c>
      <c r="D50" s="39" t="s">
        <v>225</v>
      </c>
      <c r="E50" s="92">
        <f t="shared" si="0"/>
        <v>305</v>
      </c>
      <c r="F50" s="466">
        <f>F51+F53</f>
        <v>190</v>
      </c>
      <c r="G50" s="466">
        <f>G51+G53</f>
        <v>29</v>
      </c>
      <c r="H50" s="466">
        <f>H51+H53</f>
        <v>276</v>
      </c>
      <c r="I50" s="466">
        <f>I51+I53</f>
        <v>0</v>
      </c>
      <c r="J50" s="466">
        <f t="shared" si="1"/>
        <v>0</v>
      </c>
      <c r="K50" s="466">
        <f>K51+K53</f>
        <v>0</v>
      </c>
      <c r="L50" s="466">
        <f>L51+L53</f>
        <v>0</v>
      </c>
      <c r="M50" s="466">
        <f>M51+M53</f>
        <v>0</v>
      </c>
      <c r="N50" s="466">
        <f>N51+N53</f>
        <v>0</v>
      </c>
      <c r="S50"/>
    </row>
    <row r="51" spans="2:27" ht="16.5" thickBot="1" x14ac:dyDescent="0.3">
      <c r="B51" s="75" t="s">
        <v>361</v>
      </c>
      <c r="C51" s="67" t="s">
        <v>362</v>
      </c>
      <c r="D51" s="76" t="s">
        <v>363</v>
      </c>
      <c r="E51" s="92">
        <f t="shared" si="0"/>
        <v>41</v>
      </c>
      <c r="F51" s="151">
        <v>28</v>
      </c>
      <c r="G51" s="151">
        <v>6</v>
      </c>
      <c r="H51" s="151">
        <v>35</v>
      </c>
      <c r="I51" s="92">
        <f t="shared" si="1"/>
        <v>0</v>
      </c>
      <c r="J51" s="92">
        <f t="shared" si="1"/>
        <v>0</v>
      </c>
      <c r="K51" s="151"/>
      <c r="L51" s="151"/>
      <c r="M51" s="151"/>
      <c r="N51" s="151"/>
    </row>
    <row r="52" spans="2:27" ht="16.5" thickBot="1" x14ac:dyDescent="0.3">
      <c r="B52" s="75" t="s">
        <v>364</v>
      </c>
      <c r="C52" s="67" t="s">
        <v>365</v>
      </c>
      <c r="D52" s="76" t="s">
        <v>366</v>
      </c>
      <c r="E52" s="92">
        <f t="shared" si="0"/>
        <v>2</v>
      </c>
      <c r="F52" s="151"/>
      <c r="G52" s="151">
        <v>2</v>
      </c>
      <c r="H52" s="151"/>
      <c r="I52" s="92">
        <f t="shared" si="1"/>
        <v>0</v>
      </c>
      <c r="J52" s="92">
        <f t="shared" si="1"/>
        <v>0</v>
      </c>
      <c r="K52" s="151"/>
      <c r="L52" s="151"/>
      <c r="M52" s="151"/>
      <c r="N52" s="151"/>
    </row>
    <row r="53" spans="2:27" ht="32.25" thickBot="1" x14ac:dyDescent="0.3">
      <c r="B53" s="77" t="s">
        <v>367</v>
      </c>
      <c r="C53" s="67" t="s">
        <v>372</v>
      </c>
      <c r="D53" s="76" t="s">
        <v>368</v>
      </c>
      <c r="E53" s="92">
        <f t="shared" si="0"/>
        <v>264</v>
      </c>
      <c r="F53" s="151">
        <v>162</v>
      </c>
      <c r="G53" s="151">
        <v>23</v>
      </c>
      <c r="H53" s="151">
        <v>241</v>
      </c>
      <c r="I53" s="92">
        <f t="shared" si="1"/>
        <v>0</v>
      </c>
      <c r="J53" s="92">
        <f t="shared" si="1"/>
        <v>0</v>
      </c>
      <c r="K53" s="151"/>
      <c r="L53" s="151"/>
      <c r="M53" s="151"/>
      <c r="N53" s="151"/>
    </row>
    <row r="54" spans="2:27" ht="32.25" thickBot="1" x14ac:dyDescent="0.3">
      <c r="B54" s="75" t="s">
        <v>369</v>
      </c>
      <c r="C54" s="67" t="s">
        <v>476</v>
      </c>
      <c r="D54" s="76" t="s">
        <v>370</v>
      </c>
      <c r="E54" s="92">
        <f t="shared" si="0"/>
        <v>23</v>
      </c>
      <c r="F54" s="151">
        <v>13</v>
      </c>
      <c r="G54" s="151">
        <v>4</v>
      </c>
      <c r="H54" s="151">
        <v>19</v>
      </c>
      <c r="I54" s="92">
        <f t="shared" si="1"/>
        <v>0</v>
      </c>
      <c r="J54" s="92">
        <f t="shared" si="1"/>
        <v>0</v>
      </c>
      <c r="K54" s="151"/>
      <c r="L54" s="151"/>
      <c r="M54" s="151"/>
      <c r="N54" s="151"/>
    </row>
    <row r="55" spans="2:27" ht="16.5" thickBot="1" x14ac:dyDescent="0.3">
      <c r="B55" s="75" t="s">
        <v>371</v>
      </c>
      <c r="C55" s="67" t="s">
        <v>477</v>
      </c>
      <c r="D55" s="76" t="s">
        <v>373</v>
      </c>
      <c r="E55" s="92">
        <f t="shared" si="0"/>
        <v>120</v>
      </c>
      <c r="F55" s="151">
        <v>36</v>
      </c>
      <c r="G55" s="151">
        <v>9</v>
      </c>
      <c r="H55" s="151">
        <v>111</v>
      </c>
      <c r="I55" s="92">
        <f t="shared" si="1"/>
        <v>0</v>
      </c>
      <c r="J55" s="92">
        <f t="shared" si="1"/>
        <v>0</v>
      </c>
      <c r="K55" s="151"/>
      <c r="L55" s="151"/>
      <c r="M55" s="151"/>
      <c r="N55" s="151"/>
    </row>
    <row r="56" spans="2:27" s="5" customFormat="1" ht="16.5" thickBot="1" x14ac:dyDescent="0.3">
      <c r="B56" s="66" t="s">
        <v>226</v>
      </c>
      <c r="C56" s="67" t="s">
        <v>478</v>
      </c>
      <c r="D56" s="39" t="s">
        <v>227</v>
      </c>
      <c r="E56" s="92">
        <f t="shared" si="0"/>
        <v>309</v>
      </c>
      <c r="F56" s="152">
        <v>53</v>
      </c>
      <c r="G56" s="152">
        <v>63</v>
      </c>
      <c r="H56" s="152">
        <v>246</v>
      </c>
      <c r="I56" s="92">
        <f t="shared" si="1"/>
        <v>0</v>
      </c>
      <c r="J56" s="92">
        <f t="shared" si="1"/>
        <v>0</v>
      </c>
      <c r="K56" s="152"/>
      <c r="L56" s="152"/>
      <c r="M56" s="152"/>
      <c r="N56" s="155"/>
      <c r="S56"/>
    </row>
    <row r="57" spans="2:27" s="5" customFormat="1" ht="63.75" thickBot="1" x14ac:dyDescent="0.3">
      <c r="B57" s="66" t="s">
        <v>228</v>
      </c>
      <c r="C57" s="67" t="s">
        <v>479</v>
      </c>
      <c r="D57" s="39" t="s">
        <v>229</v>
      </c>
      <c r="E57" s="92">
        <f t="shared" si="0"/>
        <v>0</v>
      </c>
      <c r="F57" s="152"/>
      <c r="G57" s="152"/>
      <c r="H57" s="152"/>
      <c r="I57" s="92">
        <f t="shared" si="1"/>
        <v>0</v>
      </c>
      <c r="J57" s="92">
        <f t="shared" si="1"/>
        <v>0</v>
      </c>
      <c r="K57" s="152"/>
      <c r="L57" s="152"/>
      <c r="M57" s="152"/>
      <c r="N57" s="155"/>
      <c r="S57"/>
    </row>
    <row r="58" spans="2:27" ht="16.5" thickBot="1" x14ac:dyDescent="0.3">
      <c r="B58" s="75" t="s">
        <v>374</v>
      </c>
      <c r="C58" s="67" t="s">
        <v>480</v>
      </c>
      <c r="D58" s="78" t="s">
        <v>375</v>
      </c>
      <c r="E58" s="92">
        <f t="shared" si="0"/>
        <v>305</v>
      </c>
      <c r="F58" s="151">
        <v>53</v>
      </c>
      <c r="G58" s="151">
        <v>61</v>
      </c>
      <c r="H58" s="151">
        <v>244</v>
      </c>
      <c r="I58" s="92">
        <f t="shared" si="1"/>
        <v>0</v>
      </c>
      <c r="J58" s="92">
        <f t="shared" si="1"/>
        <v>0</v>
      </c>
      <c r="K58" s="151"/>
      <c r="L58" s="151"/>
      <c r="M58" s="151"/>
      <c r="N58" s="151"/>
    </row>
    <row r="59" spans="2:27" ht="16.5" thickBot="1" x14ac:dyDescent="0.3">
      <c r="B59" s="58" t="s">
        <v>376</v>
      </c>
      <c r="C59" s="67" t="s">
        <v>481</v>
      </c>
      <c r="D59" s="60" t="s">
        <v>377</v>
      </c>
      <c r="E59" s="92">
        <f t="shared" si="0"/>
        <v>0</v>
      </c>
      <c r="F59" s="151"/>
      <c r="G59" s="151"/>
      <c r="H59" s="151"/>
      <c r="I59" s="92">
        <f t="shared" si="1"/>
        <v>0</v>
      </c>
      <c r="J59" s="92">
        <f t="shared" si="1"/>
        <v>0</v>
      </c>
      <c r="K59" s="151"/>
      <c r="L59" s="151"/>
      <c r="M59" s="151"/>
      <c r="N59" s="151"/>
    </row>
    <row r="60" spans="2:27" ht="45.75" thickBot="1" x14ac:dyDescent="0.3">
      <c r="B60" s="72" t="s">
        <v>378</v>
      </c>
      <c r="C60" s="67" t="s">
        <v>482</v>
      </c>
      <c r="D60" s="63" t="s">
        <v>379</v>
      </c>
      <c r="E60" s="92">
        <f t="shared" si="0"/>
        <v>44</v>
      </c>
      <c r="F60" s="151">
        <v>36</v>
      </c>
      <c r="G60" s="151">
        <v>18</v>
      </c>
      <c r="H60" s="151">
        <v>26</v>
      </c>
      <c r="I60" s="92">
        <f t="shared" si="1"/>
        <v>2</v>
      </c>
      <c r="J60" s="92">
        <f t="shared" si="1"/>
        <v>2</v>
      </c>
      <c r="K60" s="402">
        <f>'ДВН-124н'!$S$8-M60</f>
        <v>1</v>
      </c>
      <c r="L60" s="92">
        <f>'ДВН-124н'!$S$19</f>
        <v>1</v>
      </c>
      <c r="M60" s="92">
        <f>'ДВН-124н'!$S$17</f>
        <v>1</v>
      </c>
      <c r="N60" s="92">
        <f>'ДВН-124н'!$S$20</f>
        <v>1</v>
      </c>
      <c r="O60" s="417" t="str">
        <f>IF(Q60&gt;0,"стр.8 &lt; суммы строк(8.1+8.2+8.3) по графе "&amp;P60,"ОК")</f>
        <v>ОК</v>
      </c>
      <c r="P60" s="266" t="str">
        <f>IF(Q60&gt;0,INDEX($F$6:$N$6,1,Q60),CHAR(151))</f>
        <v>—</v>
      </c>
      <c r="Q60" s="416">
        <f>IF(ISERROR(MATCH(FALSE,S60:AA60,0)),0,MATCH(FALSE,S60:AA60,0))</f>
        <v>0</v>
      </c>
      <c r="R60" s="419" t="s">
        <v>797</v>
      </c>
      <c r="S60" s="47" t="b">
        <f>F60&gt;=SUM(F61:F63)</f>
        <v>1</v>
      </c>
      <c r="T60" s="47" t="b">
        <f t="shared" ref="T60:AA60" si="9">G60&gt;=SUM(G61:G63)</f>
        <v>1</v>
      </c>
      <c r="U60" s="47" t="b">
        <f t="shared" si="9"/>
        <v>1</v>
      </c>
      <c r="V60" s="47" t="b">
        <f t="shared" si="9"/>
        <v>1</v>
      </c>
      <c r="W60" s="47" t="b">
        <f t="shared" si="9"/>
        <v>1</v>
      </c>
      <c r="X60" s="47" t="b">
        <f t="shared" si="9"/>
        <v>1</v>
      </c>
      <c r="Y60" s="47" t="b">
        <f t="shared" si="9"/>
        <v>1</v>
      </c>
      <c r="Z60" s="47" t="b">
        <f t="shared" si="9"/>
        <v>1</v>
      </c>
      <c r="AA60" s="47" t="b">
        <f t="shared" si="9"/>
        <v>1</v>
      </c>
    </row>
    <row r="61" spans="2:27" ht="142.5" thickBot="1" x14ac:dyDescent="0.3">
      <c r="B61" s="77" t="s">
        <v>380</v>
      </c>
      <c r="C61" s="67" t="s">
        <v>381</v>
      </c>
      <c r="D61" s="78" t="s">
        <v>382</v>
      </c>
      <c r="E61" s="92">
        <f t="shared" si="0"/>
        <v>0</v>
      </c>
      <c r="F61" s="151"/>
      <c r="G61" s="151"/>
      <c r="H61" s="151"/>
      <c r="I61" s="92">
        <f t="shared" si="1"/>
        <v>0</v>
      </c>
      <c r="J61" s="92">
        <f t="shared" si="1"/>
        <v>0</v>
      </c>
      <c r="K61" s="151"/>
      <c r="L61" s="151"/>
      <c r="M61" s="151"/>
      <c r="N61" s="151"/>
    </row>
    <row r="62" spans="2:27" s="5" customFormat="1" ht="79.5" thickBot="1" x14ac:dyDescent="0.3">
      <c r="B62" s="69" t="s">
        <v>232</v>
      </c>
      <c r="C62" s="67" t="s">
        <v>483</v>
      </c>
      <c r="D62" s="70" t="s">
        <v>233</v>
      </c>
      <c r="E62" s="92">
        <f t="shared" si="0"/>
        <v>19</v>
      </c>
      <c r="F62" s="154">
        <v>11</v>
      </c>
      <c r="G62" s="154">
        <v>12</v>
      </c>
      <c r="H62" s="154">
        <v>7</v>
      </c>
      <c r="I62" s="92">
        <f t="shared" si="1"/>
        <v>0</v>
      </c>
      <c r="J62" s="92">
        <f t="shared" si="1"/>
        <v>0</v>
      </c>
      <c r="K62" s="154"/>
      <c r="L62" s="154"/>
      <c r="M62" s="154"/>
      <c r="N62" s="157"/>
      <c r="S62"/>
    </row>
    <row r="63" spans="2:27" s="5" customFormat="1" ht="48" thickBot="1" x14ac:dyDescent="0.3">
      <c r="B63" s="68" t="s">
        <v>234</v>
      </c>
      <c r="C63" s="196" t="s">
        <v>484</v>
      </c>
      <c r="D63" s="39" t="s">
        <v>235</v>
      </c>
      <c r="E63" s="92">
        <f t="shared" si="0"/>
        <v>25</v>
      </c>
      <c r="F63" s="152">
        <v>25</v>
      </c>
      <c r="G63" s="152">
        <v>6</v>
      </c>
      <c r="H63" s="152">
        <v>19</v>
      </c>
      <c r="I63" s="92">
        <f t="shared" si="1"/>
        <v>0</v>
      </c>
      <c r="J63" s="92">
        <f t="shared" si="1"/>
        <v>0</v>
      </c>
      <c r="K63" s="152"/>
      <c r="L63" s="152"/>
      <c r="M63" s="152"/>
      <c r="N63" s="155"/>
      <c r="S63"/>
    </row>
    <row r="64" spans="2:27" ht="45.75" thickBot="1" x14ac:dyDescent="0.3">
      <c r="B64" s="61" t="s">
        <v>383</v>
      </c>
      <c r="C64" s="462" t="s">
        <v>485</v>
      </c>
      <c r="D64" s="63" t="s">
        <v>384</v>
      </c>
      <c r="E64" s="92">
        <f t="shared" si="0"/>
        <v>111</v>
      </c>
      <c r="F64" s="151">
        <v>37</v>
      </c>
      <c r="G64" s="151">
        <v>39</v>
      </c>
      <c r="H64" s="151">
        <v>72</v>
      </c>
      <c r="I64" s="92">
        <f t="shared" si="1"/>
        <v>3</v>
      </c>
      <c r="J64" s="92">
        <f t="shared" si="1"/>
        <v>3</v>
      </c>
      <c r="K64" s="92">
        <f>'ДВН-124н'!$T$8-M64</f>
        <v>3</v>
      </c>
      <c r="L64" s="92">
        <f>'ДВН-124н'!$T$19</f>
        <v>3</v>
      </c>
      <c r="M64" s="92">
        <f>'ДВН-124н'!$T$17</f>
        <v>0</v>
      </c>
      <c r="N64" s="92">
        <f>'ДВН-124н'!$T$20</f>
        <v>0</v>
      </c>
      <c r="O64" s="417" t="str">
        <f>IF(Q64&gt;0,"стр.9 &lt; суммы строк(9.1+9.2+9.3+9.4) по графе "&amp;P64,"ОК")</f>
        <v>ОК</v>
      </c>
      <c r="P64" s="266" t="str">
        <f>IF(Q64&gt;0,INDEX($F$6:$N$6,1,Q64),CHAR(151))</f>
        <v>—</v>
      </c>
      <c r="Q64" s="416">
        <f>IF(ISERROR(MATCH(FALSE,S64:AA64,0)),0,MATCH(FALSE,S64:AA64,0))</f>
        <v>0</v>
      </c>
      <c r="R64" s="419" t="s">
        <v>789</v>
      </c>
      <c r="S64" s="47" t="b">
        <f>F64&gt;=SUM(F65:F68)</f>
        <v>1</v>
      </c>
      <c r="T64" s="47" t="b">
        <f t="shared" ref="T64:AA64" si="10">G64&gt;=SUM(G65:G68)</f>
        <v>1</v>
      </c>
      <c r="U64" s="47" t="b">
        <f t="shared" si="10"/>
        <v>1</v>
      </c>
      <c r="V64" s="47" t="b">
        <f t="shared" si="10"/>
        <v>1</v>
      </c>
      <c r="W64" s="47" t="b">
        <f t="shared" si="10"/>
        <v>1</v>
      </c>
      <c r="X64" s="47" t="b">
        <f t="shared" si="10"/>
        <v>1</v>
      </c>
      <c r="Y64" s="47" t="b">
        <f t="shared" si="10"/>
        <v>1</v>
      </c>
      <c r="Z64" s="47" t="b">
        <f t="shared" si="10"/>
        <v>1</v>
      </c>
      <c r="AA64" s="47" t="b">
        <f t="shared" si="10"/>
        <v>1</v>
      </c>
    </row>
    <row r="65" spans="2:27" s="5" customFormat="1" ht="32.25" thickBot="1" x14ac:dyDescent="0.3">
      <c r="B65" s="66" t="s">
        <v>238</v>
      </c>
      <c r="C65" s="67" t="s">
        <v>268</v>
      </c>
      <c r="D65" s="39" t="s">
        <v>239</v>
      </c>
      <c r="E65" s="92">
        <f t="shared" si="0"/>
        <v>24</v>
      </c>
      <c r="F65" s="152">
        <v>24</v>
      </c>
      <c r="G65" s="152">
        <v>11</v>
      </c>
      <c r="H65" s="152">
        <v>13</v>
      </c>
      <c r="I65" s="92">
        <f t="shared" si="1"/>
        <v>0</v>
      </c>
      <c r="J65" s="92">
        <f t="shared" si="1"/>
        <v>0</v>
      </c>
      <c r="K65" s="152"/>
      <c r="L65" s="152"/>
      <c r="M65" s="152"/>
      <c r="N65" s="155"/>
      <c r="S65"/>
    </row>
    <row r="66" spans="2:27" s="5" customFormat="1" ht="16.5" thickBot="1" x14ac:dyDescent="0.3">
      <c r="B66" s="66" t="s">
        <v>240</v>
      </c>
      <c r="C66" s="67" t="s">
        <v>269</v>
      </c>
      <c r="D66" s="39" t="s">
        <v>241</v>
      </c>
      <c r="E66" s="92">
        <f t="shared" si="0"/>
        <v>29</v>
      </c>
      <c r="F66" s="152">
        <v>13</v>
      </c>
      <c r="G66" s="152">
        <v>14</v>
      </c>
      <c r="H66" s="152">
        <v>15</v>
      </c>
      <c r="I66" s="92">
        <f t="shared" si="1"/>
        <v>3</v>
      </c>
      <c r="J66" s="92">
        <f t="shared" si="1"/>
        <v>3</v>
      </c>
      <c r="K66" s="152">
        <v>3</v>
      </c>
      <c r="L66" s="152">
        <v>3</v>
      </c>
      <c r="M66" s="152"/>
      <c r="N66" s="155"/>
      <c r="S66"/>
    </row>
    <row r="67" spans="2:27" ht="16.5" thickBot="1" x14ac:dyDescent="0.3">
      <c r="B67" s="75" t="s">
        <v>385</v>
      </c>
      <c r="C67" s="67" t="s">
        <v>270</v>
      </c>
      <c r="D67" s="76" t="s">
        <v>386</v>
      </c>
      <c r="E67" s="92">
        <f t="shared" si="0"/>
        <v>0</v>
      </c>
      <c r="F67" s="151"/>
      <c r="G67" s="151"/>
      <c r="H67" s="151"/>
      <c r="I67" s="92">
        <f t="shared" si="1"/>
        <v>0</v>
      </c>
      <c r="J67" s="92">
        <f t="shared" si="1"/>
        <v>0</v>
      </c>
      <c r="K67" s="151"/>
      <c r="L67" s="151"/>
      <c r="M67" s="151"/>
      <c r="N67" s="151"/>
    </row>
    <row r="68" spans="2:27" ht="16.5" thickBot="1" x14ac:dyDescent="0.3">
      <c r="B68" s="79" t="s">
        <v>387</v>
      </c>
      <c r="C68" s="67" t="s">
        <v>271</v>
      </c>
      <c r="D68" s="80" t="s">
        <v>388</v>
      </c>
      <c r="E68" s="92">
        <f>G68+H68</f>
        <v>2</v>
      </c>
      <c r="F68" s="151"/>
      <c r="G68" s="151">
        <v>1</v>
      </c>
      <c r="H68" s="151">
        <v>1</v>
      </c>
      <c r="I68" s="92">
        <f t="shared" si="1"/>
        <v>0</v>
      </c>
      <c r="J68" s="92">
        <f t="shared" si="1"/>
        <v>0</v>
      </c>
      <c r="K68" s="151"/>
      <c r="L68" s="151"/>
      <c r="M68" s="151"/>
      <c r="N68" s="151"/>
    </row>
    <row r="69" spans="2:27" ht="45.75" thickBot="1" x14ac:dyDescent="0.3">
      <c r="B69" s="61" t="s">
        <v>397</v>
      </c>
      <c r="C69" s="67" t="s">
        <v>486</v>
      </c>
      <c r="D69" s="723"/>
      <c r="E69" s="92">
        <f>SUM(E70+E74+E76+E77)</f>
        <v>192</v>
      </c>
      <c r="F69" s="92">
        <f t="shared" ref="F69:N69" si="11">SUM(F70+F74+F76+F77)</f>
        <v>17</v>
      </c>
      <c r="G69" s="92">
        <f t="shared" si="11"/>
        <v>62</v>
      </c>
      <c r="H69" s="92">
        <f t="shared" si="11"/>
        <v>130</v>
      </c>
      <c r="I69" s="92">
        <f t="shared" si="1"/>
        <v>3</v>
      </c>
      <c r="J69" s="92">
        <f t="shared" si="1"/>
        <v>3</v>
      </c>
      <c r="K69" s="92">
        <f t="shared" si="11"/>
        <v>0</v>
      </c>
      <c r="L69" s="92">
        <f t="shared" si="11"/>
        <v>0</v>
      </c>
      <c r="M69" s="92">
        <f t="shared" si="11"/>
        <v>3</v>
      </c>
      <c r="N69" s="92">
        <f t="shared" si="11"/>
        <v>3</v>
      </c>
      <c r="O69" s="417" t="str">
        <f>IF(Q69&gt;0,"стр.10.1 &lt; суммы строк(10.1.1+10.1.2+10.1.3) по графе "&amp;P69,"ОК")</f>
        <v>ОК</v>
      </c>
      <c r="P69" s="266" t="str">
        <f>IF(Q69&gt;0,INDEX($F$6:$N$6,1,Q69),CHAR(151))</f>
        <v>—</v>
      </c>
      <c r="Q69" s="416">
        <f>IF(ISERROR(MATCH(FALSE,S69:AA69,0)),0,MATCH(FALSE,S69:AA69,0))</f>
        <v>0</v>
      </c>
      <c r="R69" s="419" t="s">
        <v>790</v>
      </c>
      <c r="S69" s="47" t="b">
        <f>F70&gt;=SUM(F71:F73)</f>
        <v>1</v>
      </c>
      <c r="T69" s="47" t="b">
        <f t="shared" ref="T69:AA69" si="12">G70&gt;=SUM(G71:G73)</f>
        <v>1</v>
      </c>
      <c r="U69" s="47" t="b">
        <f t="shared" si="12"/>
        <v>1</v>
      </c>
      <c r="V69" s="47" t="b">
        <f t="shared" si="12"/>
        <v>1</v>
      </c>
      <c r="W69" s="47" t="b">
        <f t="shared" si="12"/>
        <v>1</v>
      </c>
      <c r="X69" s="47" t="b">
        <f t="shared" si="12"/>
        <v>1</v>
      </c>
      <c r="Y69" s="47" t="b">
        <f t="shared" si="12"/>
        <v>1</v>
      </c>
      <c r="Z69" s="47" t="b">
        <f t="shared" si="12"/>
        <v>1</v>
      </c>
      <c r="AA69" s="47" t="b">
        <f t="shared" si="12"/>
        <v>1</v>
      </c>
    </row>
    <row r="70" spans="2:27" ht="16.5" thickBot="1" x14ac:dyDescent="0.3">
      <c r="B70" s="82" t="s">
        <v>389</v>
      </c>
      <c r="C70" s="67" t="s">
        <v>272</v>
      </c>
      <c r="D70" s="57" t="s">
        <v>390</v>
      </c>
      <c r="E70" s="92">
        <f>G70+H70</f>
        <v>36</v>
      </c>
      <c r="F70" s="151">
        <v>13</v>
      </c>
      <c r="G70" s="151">
        <v>11</v>
      </c>
      <c r="H70" s="151">
        <v>25</v>
      </c>
      <c r="I70" s="92">
        <f t="shared" si="1"/>
        <v>3</v>
      </c>
      <c r="J70" s="92">
        <f t="shared" si="1"/>
        <v>3</v>
      </c>
      <c r="K70" s="151"/>
      <c r="L70" s="151"/>
      <c r="M70" s="151">
        <v>3</v>
      </c>
      <c r="N70" s="151">
        <v>3</v>
      </c>
    </row>
    <row r="71" spans="2:27" ht="63.75" thickBot="1" x14ac:dyDescent="0.3">
      <c r="B71" s="75" t="s">
        <v>391</v>
      </c>
      <c r="C71" s="67" t="s">
        <v>487</v>
      </c>
      <c r="D71" s="78" t="s">
        <v>392</v>
      </c>
      <c r="E71" s="92">
        <f t="shared" ref="E71:E77" si="13">G71+H71</f>
        <v>5</v>
      </c>
      <c r="F71" s="151">
        <v>3</v>
      </c>
      <c r="G71" s="151">
        <v>2</v>
      </c>
      <c r="H71" s="151">
        <v>3</v>
      </c>
      <c r="I71" s="92">
        <f t="shared" si="1"/>
        <v>3</v>
      </c>
      <c r="J71" s="92">
        <f t="shared" si="1"/>
        <v>3</v>
      </c>
      <c r="K71" s="151"/>
      <c r="L71" s="151"/>
      <c r="M71" s="151">
        <v>3</v>
      </c>
      <c r="N71" s="151">
        <v>3</v>
      </c>
    </row>
    <row r="72" spans="2:27" ht="32.25" thickBot="1" x14ac:dyDescent="0.3">
      <c r="B72" s="75" t="s">
        <v>393</v>
      </c>
      <c r="C72" s="67" t="s">
        <v>488</v>
      </c>
      <c r="D72" s="78" t="s">
        <v>394</v>
      </c>
      <c r="E72" s="92">
        <f t="shared" si="13"/>
        <v>0</v>
      </c>
      <c r="F72" s="151"/>
      <c r="G72" s="151"/>
      <c r="H72" s="151"/>
      <c r="I72" s="92">
        <f t="shared" ref="I72:J77" si="14">K72+M72</f>
        <v>0</v>
      </c>
      <c r="J72" s="92">
        <f t="shared" si="14"/>
        <v>0</v>
      </c>
      <c r="K72" s="151"/>
      <c r="L72" s="151"/>
      <c r="M72" s="151"/>
      <c r="N72" s="151"/>
    </row>
    <row r="73" spans="2:27" ht="32.25" thickBot="1" x14ac:dyDescent="0.3">
      <c r="B73" s="83" t="s">
        <v>395</v>
      </c>
      <c r="C73" s="67" t="s">
        <v>489</v>
      </c>
      <c r="D73" s="74" t="s">
        <v>396</v>
      </c>
      <c r="E73" s="92">
        <f t="shared" si="13"/>
        <v>0</v>
      </c>
      <c r="F73" s="151"/>
      <c r="G73" s="151"/>
      <c r="H73" s="151"/>
      <c r="I73" s="92">
        <f t="shared" si="14"/>
        <v>0</v>
      </c>
      <c r="J73" s="92">
        <f t="shared" si="14"/>
        <v>0</v>
      </c>
      <c r="K73" s="151"/>
      <c r="L73" s="151"/>
      <c r="M73" s="151"/>
      <c r="N73" s="151"/>
    </row>
    <row r="74" spans="2:27" ht="32.25" thickBot="1" x14ac:dyDescent="0.3">
      <c r="B74" s="82" t="s">
        <v>398</v>
      </c>
      <c r="C74" s="67" t="s">
        <v>490</v>
      </c>
      <c r="D74" s="78" t="s">
        <v>399</v>
      </c>
      <c r="E74" s="92">
        <f t="shared" si="13"/>
        <v>0</v>
      </c>
      <c r="F74" s="151"/>
      <c r="G74" s="151"/>
      <c r="H74" s="151"/>
      <c r="I74" s="92">
        <f t="shared" si="14"/>
        <v>0</v>
      </c>
      <c r="J74" s="92">
        <f t="shared" si="14"/>
        <v>0</v>
      </c>
      <c r="K74" s="151"/>
      <c r="L74" s="151"/>
      <c r="M74" s="151"/>
      <c r="N74" s="151"/>
      <c r="O74" s="417" t="str">
        <f>IF(Q74&gt;0,"стр.11.0 &lt; стр.11.1 по графе "&amp;P74,"ОК")</f>
        <v>ОК</v>
      </c>
      <c r="P74" s="266" t="str">
        <f>IF(Q74&gt;0,INDEX($F$6:$N$6,1,Q74),CHAR(151))</f>
        <v>—</v>
      </c>
      <c r="Q74" s="416">
        <f>IF(ISERROR(MATCH(FALSE,S74:AA74,0)),0,MATCH(FALSE,S74:AA74,0))</f>
        <v>0</v>
      </c>
      <c r="R74" s="418" t="s">
        <v>791</v>
      </c>
      <c r="S74" s="47" t="b">
        <f>F74&gt;=F75</f>
        <v>1</v>
      </c>
      <c r="T74" s="47" t="b">
        <f t="shared" ref="T74:AA74" si="15">G74&gt;=G75</f>
        <v>1</v>
      </c>
      <c r="U74" s="47" t="b">
        <f t="shared" si="15"/>
        <v>1</v>
      </c>
      <c r="V74" s="47" t="b">
        <f t="shared" si="15"/>
        <v>1</v>
      </c>
      <c r="W74" s="47" t="b">
        <f t="shared" si="15"/>
        <v>1</v>
      </c>
      <c r="X74" s="47" t="b">
        <f t="shared" si="15"/>
        <v>1</v>
      </c>
      <c r="Y74" s="47" t="b">
        <f t="shared" si="15"/>
        <v>1</v>
      </c>
      <c r="Z74" s="47" t="b">
        <f t="shared" si="15"/>
        <v>1</v>
      </c>
      <c r="AA74" s="47" t="b">
        <f t="shared" si="15"/>
        <v>1</v>
      </c>
    </row>
    <row r="75" spans="2:27" s="5" customFormat="1" ht="32.25" thickBot="1" x14ac:dyDescent="0.3">
      <c r="B75" s="66" t="s">
        <v>218</v>
      </c>
      <c r="C75" s="67" t="s">
        <v>274</v>
      </c>
      <c r="D75" s="39" t="s">
        <v>219</v>
      </c>
      <c r="E75" s="92">
        <f t="shared" si="13"/>
        <v>0</v>
      </c>
      <c r="F75" s="152"/>
      <c r="G75" s="152"/>
      <c r="H75" s="152"/>
      <c r="I75" s="92">
        <f t="shared" si="14"/>
        <v>0</v>
      </c>
      <c r="J75" s="92">
        <f t="shared" si="14"/>
        <v>0</v>
      </c>
      <c r="K75" s="152"/>
      <c r="L75" s="152"/>
      <c r="M75" s="152"/>
      <c r="N75" s="155"/>
      <c r="S75"/>
    </row>
    <row r="76" spans="2:27" ht="16.5" thickBot="1" x14ac:dyDescent="0.3">
      <c r="B76" s="82" t="s">
        <v>400</v>
      </c>
      <c r="C76" s="67" t="s">
        <v>491</v>
      </c>
      <c r="D76" s="78" t="s">
        <v>401</v>
      </c>
      <c r="E76" s="92">
        <f t="shared" si="13"/>
        <v>0</v>
      </c>
      <c r="F76" s="151"/>
      <c r="G76" s="151"/>
      <c r="H76" s="151"/>
      <c r="I76" s="92">
        <f t="shared" si="14"/>
        <v>0</v>
      </c>
      <c r="J76" s="92">
        <f t="shared" si="14"/>
        <v>0</v>
      </c>
      <c r="K76" s="151"/>
      <c r="L76" s="151"/>
      <c r="M76" s="151"/>
      <c r="N76" s="151"/>
    </row>
    <row r="77" spans="2:27" ht="16.5" thickBot="1" x14ac:dyDescent="0.3">
      <c r="B77" s="82" t="s">
        <v>402</v>
      </c>
      <c r="C77" s="67" t="s">
        <v>492</v>
      </c>
      <c r="D77" s="84" t="s">
        <v>403</v>
      </c>
      <c r="E77" s="92">
        <f t="shared" si="13"/>
        <v>156</v>
      </c>
      <c r="F77" s="151">
        <v>4</v>
      </c>
      <c r="G77" s="151">
        <v>51</v>
      </c>
      <c r="H77" s="151">
        <v>105</v>
      </c>
      <c r="I77" s="92">
        <f t="shared" si="14"/>
        <v>0</v>
      </c>
      <c r="J77" s="92">
        <f t="shared" si="14"/>
        <v>0</v>
      </c>
      <c r="K77" s="151"/>
      <c r="L77" s="151"/>
      <c r="M77" s="151"/>
      <c r="N77" s="151"/>
    </row>
    <row r="78" spans="2:27" ht="32.25" thickBot="1" x14ac:dyDescent="0.3">
      <c r="B78" s="422" t="s">
        <v>404</v>
      </c>
      <c r="C78" s="423" t="s">
        <v>811</v>
      </c>
      <c r="D78" s="424" t="s">
        <v>405</v>
      </c>
      <c r="E78" s="425">
        <f>E7+E9+E35+E37+E42+E44+E48+E60+E64+E69</f>
        <v>1912</v>
      </c>
      <c r="F78" s="425">
        <f t="shared" ref="F78:N78" si="16">F7+F9+F35+F37+F42+F44+F48+F60+F64+F69</f>
        <v>828</v>
      </c>
      <c r="G78" s="425">
        <f t="shared" si="16"/>
        <v>453</v>
      </c>
      <c r="H78" s="425">
        <f t="shared" si="16"/>
        <v>1459</v>
      </c>
      <c r="I78" s="425">
        <f t="shared" si="16"/>
        <v>12</v>
      </c>
      <c r="J78" s="425">
        <f t="shared" si="16"/>
        <v>12</v>
      </c>
      <c r="K78" s="425">
        <f t="shared" si="16"/>
        <v>8</v>
      </c>
      <c r="L78" s="425">
        <f t="shared" si="16"/>
        <v>8</v>
      </c>
      <c r="M78" s="425">
        <f t="shared" si="16"/>
        <v>4</v>
      </c>
      <c r="N78" s="724">
        <f t="shared" si="16"/>
        <v>4</v>
      </c>
      <c r="O78" s="417" t="str">
        <f>IF(Q78&gt;0,"стр.14.0 ≠ стр.15.0 по графе "&amp;P78,"ОК")</f>
        <v>ОК</v>
      </c>
      <c r="P78" s="266" t="str">
        <f>IF(Q78&gt;0,INDEX($F$6:$N$6,1,Q78),CHAR(151))</f>
        <v>—</v>
      </c>
      <c r="Q78" s="416">
        <f>IF(ISERROR(MATCH(FALSE,S78:AA78,0)),0,MATCH(FALSE,S78:AA78,0))</f>
        <v>0</v>
      </c>
      <c r="R78" s="418" t="s">
        <v>813</v>
      </c>
      <c r="S78" s="334" t="b">
        <v>1</v>
      </c>
      <c r="T78" s="334" t="b">
        <v>1</v>
      </c>
      <c r="U78" s="334" t="b">
        <v>1</v>
      </c>
      <c r="V78" s="47" t="b">
        <f t="shared" ref="V78:AA78" si="17">I78=I79</f>
        <v>1</v>
      </c>
      <c r="W78" s="47" t="b">
        <f t="shared" si="17"/>
        <v>1</v>
      </c>
      <c r="X78" s="47" t="b">
        <f t="shared" si="17"/>
        <v>1</v>
      </c>
      <c r="Y78" s="47" t="b">
        <f t="shared" si="17"/>
        <v>1</v>
      </c>
      <c r="Z78" s="47" t="b">
        <f t="shared" si="17"/>
        <v>1</v>
      </c>
      <c r="AA78" s="47" t="b">
        <f t="shared" si="17"/>
        <v>1</v>
      </c>
    </row>
    <row r="79" spans="2:27" ht="16.5" thickBot="1" x14ac:dyDescent="0.3">
      <c r="B79" s="725" t="s">
        <v>801</v>
      </c>
      <c r="C79" s="196" t="s">
        <v>812</v>
      </c>
      <c r="D79" s="726"/>
      <c r="E79" s="726"/>
      <c r="F79" s="726"/>
      <c r="G79" s="726"/>
      <c r="H79" s="726"/>
      <c r="I79" s="434">
        <f>'ДВН-124н'!L8</f>
        <v>12</v>
      </c>
      <c r="J79" s="453">
        <f>'ДВН-124н'!$U$18</f>
        <v>12</v>
      </c>
      <c r="K79" s="434">
        <f>'ДВН-124н'!L8-'ДВН-124н'!L17</f>
        <v>8</v>
      </c>
      <c r="L79" s="434">
        <f>'ДВН-124н'!$U$19</f>
        <v>8</v>
      </c>
      <c r="M79" s="434">
        <f>'ДВН-124н'!$L$17</f>
        <v>4</v>
      </c>
      <c r="N79" s="727">
        <f>'ДВН-124н'!$U$20</f>
        <v>4</v>
      </c>
    </row>
    <row r="80" spans="2:27" s="5" customFormat="1" ht="16.5" thickBot="1" x14ac:dyDescent="0.3">
      <c r="B80" s="99" t="s">
        <v>276</v>
      </c>
      <c r="C80" s="98"/>
      <c r="D80" s="98"/>
      <c r="E80" s="98"/>
      <c r="F80" s="98"/>
      <c r="G80" s="98"/>
      <c r="H80" s="98"/>
      <c r="I80" s="98"/>
      <c r="J80" s="98"/>
      <c r="K80" s="98" t="s">
        <v>318</v>
      </c>
      <c r="L80" s="98"/>
      <c r="M80" s="98"/>
      <c r="N80" s="98"/>
      <c r="S80"/>
    </row>
    <row r="81" spans="2:19" s="5" customFormat="1" ht="31.5" customHeight="1" thickBot="1" x14ac:dyDescent="0.3">
      <c r="B81" s="866" t="s">
        <v>277</v>
      </c>
      <c r="C81" s="866"/>
      <c r="D81" s="866"/>
      <c r="E81" s="866"/>
      <c r="F81" s="866"/>
      <c r="G81" s="866"/>
      <c r="H81" s="866"/>
      <c r="I81" s="866"/>
      <c r="J81" s="866"/>
      <c r="K81" s="866"/>
      <c r="L81" s="866"/>
      <c r="M81" s="150"/>
      <c r="N81" s="105" t="s">
        <v>51</v>
      </c>
      <c r="S81"/>
    </row>
    <row r="82" spans="2:19" s="5" customFormat="1" x14ac:dyDescent="0.25"/>
    <row r="84" spans="2:19" x14ac:dyDescent="0.25">
      <c r="B84" s="26" t="s">
        <v>406</v>
      </c>
    </row>
  </sheetData>
  <sheetProtection password="DB70" sheet="1" objects="1" scenarios="1" autoFilter="0"/>
  <autoFilter ref="B6:N78"/>
  <mergeCells count="21">
    <mergeCell ref="B1:N1"/>
    <mergeCell ref="B3:B5"/>
    <mergeCell ref="C3:C5"/>
    <mergeCell ref="D3:D5"/>
    <mergeCell ref="E3:H3"/>
    <mergeCell ref="I3:N3"/>
    <mergeCell ref="G4:H4"/>
    <mergeCell ref="M4:N4"/>
    <mergeCell ref="B81:L81"/>
    <mergeCell ref="K4:L4"/>
    <mergeCell ref="D11:D12"/>
    <mergeCell ref="D13:D14"/>
    <mergeCell ref="D15:D16"/>
    <mergeCell ref="E4:F4"/>
    <mergeCell ref="D19:D20"/>
    <mergeCell ref="I4:J4"/>
    <mergeCell ref="D27:D29"/>
    <mergeCell ref="D30:D32"/>
    <mergeCell ref="D33:D34"/>
    <mergeCell ref="D17:D18"/>
    <mergeCell ref="D21:D22"/>
  </mergeCells>
  <conditionalFormatting sqref="O7">
    <cfRule type="expression" dxfId="128" priority="18" stopIfTrue="1">
      <formula>O7&lt;&gt;"ОК"</formula>
    </cfRule>
  </conditionalFormatting>
  <conditionalFormatting sqref="O8">
    <cfRule type="expression" dxfId="127" priority="17" stopIfTrue="1">
      <formula>O8&lt;&gt;"ОК"</formula>
    </cfRule>
  </conditionalFormatting>
  <conditionalFormatting sqref="O9">
    <cfRule type="expression" dxfId="126" priority="16" stopIfTrue="1">
      <formula>O9&lt;&gt;"ОК"</formula>
    </cfRule>
  </conditionalFormatting>
  <conditionalFormatting sqref="O10">
    <cfRule type="expression" dxfId="125" priority="15" stopIfTrue="1">
      <formula>O10&lt;&gt;"ОК"</formula>
    </cfRule>
  </conditionalFormatting>
  <conditionalFormatting sqref="O11">
    <cfRule type="expression" dxfId="124" priority="14" stopIfTrue="1">
      <formula>O11&lt;&gt;"ОК"</formula>
    </cfRule>
  </conditionalFormatting>
  <conditionalFormatting sqref="O12">
    <cfRule type="expression" dxfId="123" priority="13" stopIfTrue="1">
      <formula>O12&lt;&gt;"ОК"</formula>
    </cfRule>
  </conditionalFormatting>
  <conditionalFormatting sqref="O35">
    <cfRule type="expression" dxfId="122" priority="12" stopIfTrue="1">
      <formula>O35&lt;&gt;"ОК"</formula>
    </cfRule>
  </conditionalFormatting>
  <conditionalFormatting sqref="O37">
    <cfRule type="expression" dxfId="121" priority="10" stopIfTrue="1">
      <formula>O37&lt;&gt;"ОК"</formula>
    </cfRule>
  </conditionalFormatting>
  <conditionalFormatting sqref="O42">
    <cfRule type="expression" dxfId="120" priority="9" stopIfTrue="1">
      <formula>O42&lt;&gt;"ОК"</formula>
    </cfRule>
  </conditionalFormatting>
  <conditionalFormatting sqref="O44">
    <cfRule type="expression" dxfId="119" priority="8" stopIfTrue="1">
      <formula>O44&lt;&gt;"ОК"</formula>
    </cfRule>
  </conditionalFormatting>
  <conditionalFormatting sqref="O48">
    <cfRule type="expression" dxfId="118" priority="7" stopIfTrue="1">
      <formula>O48&lt;&gt;"ОК"</formula>
    </cfRule>
  </conditionalFormatting>
  <conditionalFormatting sqref="O60">
    <cfRule type="expression" dxfId="117" priority="6" stopIfTrue="1">
      <formula>O60&lt;&gt;"ОК"</formula>
    </cfRule>
  </conditionalFormatting>
  <conditionalFormatting sqref="O64">
    <cfRule type="expression" dxfId="116" priority="5" stopIfTrue="1">
      <formula>O64&lt;&gt;"ОК"</formula>
    </cfRule>
  </conditionalFormatting>
  <conditionalFormatting sqref="O69">
    <cfRule type="expression" dxfId="115" priority="4" stopIfTrue="1">
      <formula>O69&lt;&gt;"ОК"</formula>
    </cfRule>
  </conditionalFormatting>
  <conditionalFormatting sqref="O74">
    <cfRule type="expression" dxfId="114" priority="2" stopIfTrue="1">
      <formula>O74&lt;&gt;"ОК"</formula>
    </cfRule>
  </conditionalFormatting>
  <conditionalFormatting sqref="O78">
    <cfRule type="expression" dxfId="113" priority="1" stopIfTrue="1">
      <formula>O78&lt;&gt;"ОК"</formula>
    </cfRule>
  </conditionalFormatting>
  <dataValidations count="1"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K7:N68 M81 E70:H77 K70:N77 E7:E68 F7:H49 F51:H68 F50:I50">
      <formula1>AND($A$1=TRUE,ISNUMBER(E7),E7&gt;=0,IF(ISERROR(SEARCH(",?",E7)),0,1)=0)</formula1>
    </dataValidation>
  </dataValidations>
  <hyperlinks>
    <hyperlink ref="D3" r:id="rId1" display="http://ivo.garant.ru/document/redirect/4100000/0"/>
    <hyperlink ref="K80" r:id="rId2" display="http://ivo.garant.ru/document/redirect/179222/792"/>
  </hyperlinks>
  <pageMargins left="0.7" right="0.7" top="0.75" bottom="0.75" header="0.3" footer="0.3"/>
  <pageSetup paperSize="9" scale="63" fitToHeight="0" orientation="landscape" horizontalDpi="4294967295" verticalDpi="4294967295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7" tint="0.39997558519241921"/>
    <pageSetUpPr fitToPage="1"/>
  </sheetPr>
  <dimension ref="A1:CL84"/>
  <sheetViews>
    <sheetView zoomScale="55" zoomScaleNormal="55" workbookViewId="0">
      <pane ySplit="6" topLeftCell="A7" activePane="bottomLeft" state="frozenSplit"/>
      <selection pane="bottomLeft" activeCell="F9" sqref="F9"/>
    </sheetView>
  </sheetViews>
  <sheetFormatPr defaultRowHeight="15.75" x14ac:dyDescent="0.25"/>
  <cols>
    <col min="2" max="2" width="43.140625" style="26" customWidth="1"/>
    <col min="3" max="3" width="9.42578125" customWidth="1"/>
    <col min="4" max="4" width="12.85546875" customWidth="1"/>
    <col min="15" max="15" width="41.140625" customWidth="1"/>
    <col min="16" max="17" width="9.140625" hidden="1" customWidth="1"/>
    <col min="18" max="18" width="45.7109375" hidden="1" customWidth="1"/>
    <col min="19" max="90" width="9.140625" hidden="1" customWidth="1"/>
  </cols>
  <sheetData>
    <row r="1" spans="1:90" s="5" customFormat="1" ht="48" customHeight="1" x14ac:dyDescent="0.25">
      <c r="A1" s="158" t="b">
        <f>AND('Титульный лист'!$D$14&lt;&gt;"",'Титульный лист'!$C$22&lt;&gt;"",'Титульный лист'!$B$29&lt;&gt;"",'Титульный лист'!$B$30&lt;&gt;"",'Титульный лист'!$B$31&lt;&gt;"",'Титульный лист'!$B$32&lt;&gt;"",'Титульный лист'!$B$33&lt;&gt;"")</f>
        <v>1</v>
      </c>
      <c r="B1" s="871" t="s">
        <v>166</v>
      </c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</row>
    <row r="2" spans="1:90" s="5" customFormat="1" ht="16.5" thickBot="1" x14ac:dyDescent="0.3">
      <c r="B2" s="21" t="s">
        <v>167</v>
      </c>
      <c r="K2" s="5" t="s">
        <v>319</v>
      </c>
    </row>
    <row r="3" spans="1:90" s="5" customFormat="1" ht="32.25" customHeight="1" thickBot="1" x14ac:dyDescent="0.3">
      <c r="B3" s="872" t="s">
        <v>168</v>
      </c>
      <c r="C3" s="872" t="s">
        <v>159</v>
      </c>
      <c r="D3" s="875" t="s">
        <v>169</v>
      </c>
      <c r="E3" s="867" t="s">
        <v>170</v>
      </c>
      <c r="F3" s="878"/>
      <c r="G3" s="878"/>
      <c r="H3" s="868"/>
      <c r="I3" s="867" t="s">
        <v>171</v>
      </c>
      <c r="J3" s="878"/>
      <c r="K3" s="878"/>
      <c r="L3" s="878"/>
      <c r="M3" s="878"/>
      <c r="N3" s="868"/>
    </row>
    <row r="4" spans="1:90" s="5" customFormat="1" ht="47.25" customHeight="1" thickBot="1" x14ac:dyDescent="0.3">
      <c r="B4" s="873"/>
      <c r="C4" s="873"/>
      <c r="D4" s="876"/>
      <c r="E4" s="869" t="s">
        <v>172</v>
      </c>
      <c r="F4" s="870"/>
      <c r="G4" s="867" t="s">
        <v>32</v>
      </c>
      <c r="H4" s="868"/>
      <c r="I4" s="867" t="s">
        <v>172</v>
      </c>
      <c r="J4" s="868"/>
      <c r="K4" s="867" t="s">
        <v>126</v>
      </c>
      <c r="L4" s="868"/>
      <c r="M4" s="867" t="s">
        <v>127</v>
      </c>
      <c r="N4" s="868"/>
      <c r="O4"/>
    </row>
    <row r="5" spans="1:90" s="5" customFormat="1" ht="113.25" customHeight="1" thickBot="1" x14ac:dyDescent="0.4">
      <c r="B5" s="874"/>
      <c r="C5" s="874"/>
      <c r="D5" s="877"/>
      <c r="E5" s="42" t="s">
        <v>172</v>
      </c>
      <c r="F5" s="1" t="s">
        <v>173</v>
      </c>
      <c r="G5" s="42" t="s">
        <v>174</v>
      </c>
      <c r="H5" s="42" t="s">
        <v>175</v>
      </c>
      <c r="I5" s="42" t="s">
        <v>172</v>
      </c>
      <c r="J5" s="42" t="s">
        <v>173</v>
      </c>
      <c r="K5" s="42" t="s">
        <v>172</v>
      </c>
      <c r="L5" s="42" t="s">
        <v>173</v>
      </c>
      <c r="M5" s="42" t="s">
        <v>172</v>
      </c>
      <c r="N5" s="41" t="s">
        <v>173</v>
      </c>
      <c r="O5" s="444" t="s">
        <v>411</v>
      </c>
      <c r="P5" s="413" t="s">
        <v>468</v>
      </c>
    </row>
    <row r="6" spans="1:90" s="5" customFormat="1" ht="16.5" customHeight="1" thickBot="1" x14ac:dyDescent="0.3">
      <c r="B6" s="43">
        <v>1</v>
      </c>
      <c r="C6" s="43">
        <v>2</v>
      </c>
      <c r="D6" s="43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1">
        <v>13</v>
      </c>
      <c r="O6"/>
    </row>
    <row r="7" spans="1:90" ht="32.25" thickBot="1" x14ac:dyDescent="0.3">
      <c r="B7" s="55" t="s">
        <v>332</v>
      </c>
      <c r="C7" s="56">
        <v>1</v>
      </c>
      <c r="D7" s="57" t="s">
        <v>333</v>
      </c>
      <c r="E7" s="92">
        <f>G7+H7</f>
        <v>0</v>
      </c>
      <c r="F7" s="151"/>
      <c r="G7" s="151"/>
      <c r="H7" s="92"/>
      <c r="I7" s="92">
        <f>K7+M7</f>
        <v>0</v>
      </c>
      <c r="J7" s="92">
        <f>L7+N7</f>
        <v>0</v>
      </c>
      <c r="K7" s="151"/>
      <c r="L7" s="151"/>
      <c r="M7" s="92"/>
      <c r="N7" s="92"/>
      <c r="O7" s="445" t="str">
        <f>IF(Q7&gt;0,"гр.4 &gt;= гр.8 по строке "&amp;P7,"ОК")</f>
        <v>ОК</v>
      </c>
      <c r="P7" s="415" t="str">
        <f>IF(Q7&gt;0,INDEX($C$7:$C$78,Q7,1),CHAR(151))</f>
        <v>—</v>
      </c>
      <c r="Q7" s="47">
        <f>IF(ISERROR(MATCH(FALSE,S7:CL7,0)),0,MATCH(FALSE,S7:CL7,0))</f>
        <v>0</v>
      </c>
      <c r="R7" s="414"/>
      <c r="S7" s="47" t="b">
        <f>IF(OR($E7&lt;&gt;0,$I7&lt;&gt;0),$E7&gt;=$I7,TRUE)</f>
        <v>1</v>
      </c>
      <c r="T7" s="47" t="b">
        <f>IF(OR($E8&lt;&gt;0,$I8&lt;&gt;0),$E8&gt;=$I8,TRUE)</f>
        <v>1</v>
      </c>
      <c r="U7" s="47" t="b">
        <f>IF(OR($E9&lt;&gt;0,$I9&lt;&gt;0),$E9&gt;=$I9,TRUE)</f>
        <v>1</v>
      </c>
      <c r="V7" s="47" t="b">
        <f>IF(OR($E10&lt;&gt;0,$I10&lt;&gt;0),$E10&gt;=$I10,TRUE)</f>
        <v>1</v>
      </c>
      <c r="W7" s="47" t="b">
        <f>IF(OR($E11&lt;&gt;0,$I11&lt;&gt;0),$E11&gt;=$I11,TRUE)</f>
        <v>1</v>
      </c>
      <c r="X7" s="47" t="b">
        <f>IF(OR($E12&lt;&gt;0,$I12&lt;&gt;0),$E12&gt;=$I12,TRUE)</f>
        <v>1</v>
      </c>
      <c r="Y7" s="47" t="b">
        <f>IF(OR($E13&lt;&gt;0,$I13&lt;&gt;0),$E13&gt;=$I13,TRUE)</f>
        <v>1</v>
      </c>
      <c r="Z7" s="47" t="b">
        <f>IF(OR($E14&lt;&gt;0,$I14&lt;&gt;0),$E14&gt;=$I14,TRUE)</f>
        <v>1</v>
      </c>
      <c r="AA7" s="47" t="b">
        <f>IF(OR($E15&lt;&gt;0,$I15&lt;&gt;0),$E15&gt;=$I15,TRUE)</f>
        <v>1</v>
      </c>
      <c r="AB7" s="47" t="b">
        <f>IF(OR($E16&lt;&gt;0,$I16&lt;&gt;0),$E16&gt;=$I16,TRUE)</f>
        <v>1</v>
      </c>
      <c r="AC7" s="47" t="b">
        <f>IF(OR($E17&lt;&gt;0,$I17&lt;&gt;0),$E17&gt;=$I17,TRUE)</f>
        <v>1</v>
      </c>
      <c r="AD7" s="47" t="b">
        <f>IF(OR($E18&lt;&gt;0,$I18&lt;&gt;0),$E18&gt;=$I18,TRUE)</f>
        <v>1</v>
      </c>
      <c r="AE7" s="47" t="b">
        <f>IF(OR($E19&lt;&gt;0,$I19&lt;&gt;0),$E19&gt;=$I19,TRUE)</f>
        <v>1</v>
      </c>
      <c r="AF7" s="47" t="b">
        <f>IF(OR($E20&lt;&gt;0,$I20&lt;&gt;0),$E20&gt;=$I20,TRUE)</f>
        <v>1</v>
      </c>
      <c r="AG7" s="47" t="b">
        <f>IF(OR($E21&lt;&gt;0,$I21&lt;&gt;0),$E21&gt;=$I21,TRUE)</f>
        <v>1</v>
      </c>
      <c r="AH7" s="47" t="b">
        <f>IF(OR($E22&lt;&gt;0,$I22&lt;&gt;0),$E22&gt;=$I22,TRUE)</f>
        <v>1</v>
      </c>
      <c r="AI7" s="47" t="b">
        <f>IF(OR($E23&lt;&gt;0,$I23&lt;&gt;0),$E23&gt;=$I23,TRUE)</f>
        <v>1</v>
      </c>
      <c r="AJ7" s="47" t="b">
        <f>IF(OR($E24&lt;&gt;0,$I24&lt;&gt;0),$E24&gt;=$I24,TRUE)</f>
        <v>1</v>
      </c>
      <c r="AK7" s="47" t="b">
        <f>IF(OR($E25&lt;&gt;0,$I25&lt;&gt;0),$E25&gt;=$I25,TRUE)</f>
        <v>1</v>
      </c>
      <c r="AL7" s="47" t="b">
        <f>IF(OR($E26&lt;&gt;0,$I26&lt;&gt;0),$E26&gt;=$I26,TRUE)</f>
        <v>1</v>
      </c>
      <c r="AM7" s="47" t="b">
        <f>IF(OR($E27&lt;&gt;0,$I27&lt;&gt;0),$E27&gt;=$I27,TRUE)</f>
        <v>1</v>
      </c>
      <c r="AN7" s="47" t="b">
        <f>IF(OR($E28&lt;&gt;0,$I28&lt;&gt;0),$E28&gt;=$I28,TRUE)</f>
        <v>1</v>
      </c>
      <c r="AO7" s="47" t="b">
        <f>IF(OR($E29&lt;&gt;0,$I29&lt;&gt;0),$E29&gt;=$I29,TRUE)</f>
        <v>1</v>
      </c>
      <c r="AP7" s="47" t="b">
        <f>IF(OR($E30&lt;&gt;0,$I30&lt;&gt;0),$E30&gt;=$I30,TRUE)</f>
        <v>1</v>
      </c>
      <c r="AQ7" s="47" t="b">
        <f>IF(OR($E31&lt;&gt;0,$I31&lt;&gt;0),$E31&gt;=$I31,TRUE)</f>
        <v>1</v>
      </c>
      <c r="AR7" s="47" t="b">
        <f>IF(OR($E32&lt;&gt;0,$I32&lt;&gt;0),$E32&gt;=$I32,TRUE)</f>
        <v>1</v>
      </c>
      <c r="AS7" s="47" t="b">
        <f>IF(OR($E33&lt;&gt;0,$I33&lt;&gt;0),$E33&gt;=$I33,TRUE)</f>
        <v>1</v>
      </c>
      <c r="AT7" s="47" t="b">
        <f>IF(OR($E34&lt;&gt;0,$I34&lt;&gt;0),$E34&gt;=$I34,TRUE)</f>
        <v>1</v>
      </c>
      <c r="AU7" s="47" t="b">
        <f>IF(OR($E35&lt;&gt;0,$I35&lt;&gt;0),$E35&gt;=$I35,TRUE)</f>
        <v>1</v>
      </c>
      <c r="AV7" s="47" t="b">
        <f>IF(OR($E36&lt;&gt;0,$I36&lt;&gt;0),$E36&gt;=$I36,TRUE)</f>
        <v>1</v>
      </c>
      <c r="AW7" s="47" t="b">
        <f>IF(OR($E37&lt;&gt;0,$I37&lt;&gt;0),$E37&gt;=$I37,TRUE)</f>
        <v>1</v>
      </c>
      <c r="AX7" s="47" t="b">
        <f>IF(OR($E38&lt;&gt;0,$I38&lt;&gt;0),$E38&gt;=$I38,TRUE)</f>
        <v>1</v>
      </c>
      <c r="AY7" s="47" t="b">
        <f>IF(OR($E39&lt;&gt;0,$I39&lt;&gt;0),$E39&gt;=$I39,TRUE)</f>
        <v>1</v>
      </c>
      <c r="AZ7" s="47" t="b">
        <f>IF(OR($E40&lt;&gt;0,$I40&lt;&gt;0),$E40&gt;=$I40,TRUE)</f>
        <v>1</v>
      </c>
      <c r="BA7" s="47" t="b">
        <f>IF(OR($E41&lt;&gt;0,$I41&lt;&gt;0),$E41&gt;=$I41,TRUE)</f>
        <v>1</v>
      </c>
      <c r="BB7" s="47" t="b">
        <f>IF(OR($E42&lt;&gt;0,$I42&lt;&gt;0),$E42&gt;=$I42,TRUE)</f>
        <v>1</v>
      </c>
      <c r="BC7" s="47" t="b">
        <f>IF(OR($E43&lt;&gt;0,$I43&lt;&gt;0),$E43&gt;=$I43,TRUE)</f>
        <v>1</v>
      </c>
      <c r="BD7" s="47" t="b">
        <f>IF(OR($E44&lt;&gt;0,$I44&lt;&gt;0),$E44&gt;=$I44,TRUE)</f>
        <v>1</v>
      </c>
      <c r="BE7" s="47" t="b">
        <f>IF(OR($E45&lt;&gt;0,$I45&lt;&gt;0),$E45&gt;=$I45,TRUE)</f>
        <v>1</v>
      </c>
      <c r="BF7" s="47" t="b">
        <f>IF(OR($E46&lt;&gt;0,$I46&lt;&gt;0),$E46&gt;=$I46,TRUE)</f>
        <v>1</v>
      </c>
      <c r="BG7" s="47" t="b">
        <f>IF(OR($E47&lt;&gt;0,$I47&lt;&gt;0),$E47&gt;=$I47,TRUE)</f>
        <v>1</v>
      </c>
      <c r="BH7" s="47" t="b">
        <f>IF(OR($E48&lt;&gt;0,$I48&lt;&gt;0),$E48&gt;=$I48,TRUE)</f>
        <v>1</v>
      </c>
      <c r="BI7" s="47" t="b">
        <f>IF(OR($E49&lt;&gt;0,$I49&lt;&gt;0),$E49&gt;=$I49,TRUE)</f>
        <v>1</v>
      </c>
      <c r="BJ7" s="47" t="b">
        <f>IF(OR($E50&lt;&gt;0,$I50&lt;&gt;0),$E50&gt;=$I50,TRUE)</f>
        <v>1</v>
      </c>
      <c r="BK7" s="47" t="b">
        <f>IF(OR($E51&lt;&gt;0,$I51&lt;&gt;0),$E51&gt;=$I51,TRUE)</f>
        <v>1</v>
      </c>
      <c r="BL7" s="47" t="b">
        <f>IF(OR($E52&lt;&gt;0,$I52&lt;&gt;0),$E52&gt;=$I52,TRUE)</f>
        <v>1</v>
      </c>
      <c r="BM7" s="47" t="b">
        <f>IF(OR($E53&lt;&gt;0,$I53&lt;&gt;0),$E53&gt;=$I53,TRUE)</f>
        <v>1</v>
      </c>
      <c r="BN7" s="47" t="b">
        <f>IF(OR($E54&lt;&gt;0,$I54&lt;&gt;0),$E54&gt;=$I54,TRUE)</f>
        <v>1</v>
      </c>
      <c r="BO7" s="47" t="b">
        <f>IF(OR($E55&lt;&gt;0,$I55&lt;&gt;0),$E55&gt;=$I55,TRUE)</f>
        <v>1</v>
      </c>
      <c r="BP7" s="47" t="b">
        <f>IF(OR($E56&lt;&gt;0,$I56&lt;&gt;0),$E56&gt;=$I56,TRUE)</f>
        <v>1</v>
      </c>
      <c r="BQ7" s="47" t="b">
        <f>IF(OR($E57&lt;&gt;0,$I57&lt;&gt;0),$E57&gt;=$I57,TRUE)</f>
        <v>1</v>
      </c>
      <c r="BR7" s="47" t="b">
        <f>IF(OR($E58&lt;&gt;0,$I58&lt;&gt;0),$E58&gt;=$I58,TRUE)</f>
        <v>1</v>
      </c>
      <c r="BS7" s="47" t="b">
        <f>IF(OR($E59&lt;&gt;0,$I59&lt;&gt;0),$E59&gt;=$I59,TRUE)</f>
        <v>1</v>
      </c>
      <c r="BT7" s="47" t="b">
        <f>IF(OR($E60&lt;&gt;0,$I60&lt;&gt;0),$E60&gt;=$I60,TRUE)</f>
        <v>1</v>
      </c>
      <c r="BU7" s="47" t="b">
        <f>IF(OR($E61&lt;&gt;0,$I61&lt;&gt;0),$E61&gt;=$I61,TRUE)</f>
        <v>1</v>
      </c>
      <c r="BV7" s="47" t="b">
        <f>IF(OR($E62&lt;&gt;0,$I62&lt;&gt;0),$E62&gt;=$I62,TRUE)</f>
        <v>1</v>
      </c>
      <c r="BW7" s="47" t="b">
        <f>IF(OR($E63&lt;&gt;0,$I63&lt;&gt;0),$E63&gt;=$I63,TRUE)</f>
        <v>1</v>
      </c>
      <c r="BX7" s="47" t="b">
        <f>IF(OR($E64&lt;&gt;0,$I64&lt;&gt;0),$E64&gt;=$I64,TRUE)</f>
        <v>1</v>
      </c>
      <c r="BY7" s="47" t="b">
        <f>IF(OR($E65&lt;&gt;0,$I65&lt;&gt;0),$E65&gt;=$I65,TRUE)</f>
        <v>1</v>
      </c>
      <c r="BZ7" s="47" t="b">
        <f>IF(OR($E66&lt;&gt;0,$I66&lt;&gt;0),$E66&gt;=$I66,TRUE)</f>
        <v>1</v>
      </c>
      <c r="CA7" s="47" t="b">
        <f>IF(OR($E67&lt;&gt;0,$I67&lt;&gt;0),$E67&gt;=$I67,TRUE)</f>
        <v>1</v>
      </c>
      <c r="CB7" s="47" t="b">
        <f>IF(OR($E68&lt;&gt;0,$I68&lt;&gt;0),$E68&gt;=$I68,TRUE)</f>
        <v>1</v>
      </c>
      <c r="CC7" s="47" t="b">
        <f>IF(OR($E69&lt;&gt;0,$I69&lt;&gt;0),$E69&gt;=$I69,TRUE)</f>
        <v>1</v>
      </c>
      <c r="CD7" s="47" t="b">
        <f>IF(OR($E70&lt;&gt;0,$I70&lt;&gt;0),$E70&gt;=$I70,TRUE)</f>
        <v>1</v>
      </c>
      <c r="CE7" s="47" t="b">
        <f>IF(OR($E71&lt;&gt;0,$I71&lt;&gt;0),$E71&gt;=$I71,TRUE)</f>
        <v>1</v>
      </c>
      <c r="CF7" s="47" t="b">
        <f>IF(OR($E72&lt;&gt;0,$I72&lt;&gt;0),$E72&gt;=$I72,TRUE)</f>
        <v>1</v>
      </c>
      <c r="CG7" s="47" t="b">
        <f>IF(OR($E73&lt;&gt;0,$I73&lt;&gt;0),$E73&gt;=$I73,TRUE)</f>
        <v>1</v>
      </c>
      <c r="CH7" s="47" t="b">
        <f>IF(OR($E74&lt;&gt;0,$I74&lt;&gt;0),$E74&gt;=$I74,TRUE)</f>
        <v>1</v>
      </c>
      <c r="CI7" s="47" t="b">
        <f>IF(OR($E75&lt;&gt;0,$I75&lt;&gt;0),$E75&gt;=$I75,TRUE)</f>
        <v>1</v>
      </c>
      <c r="CJ7" s="47" t="b">
        <f>IF(OR($E76&lt;&gt;0,$I76&lt;&gt;0),$E76&gt;=$I76,TRUE)</f>
        <v>1</v>
      </c>
      <c r="CK7" s="47" t="b">
        <f>IF(OR($E77&lt;&gt;0,$I77&lt;&gt;0),$E77&gt;=$I77,TRUE)</f>
        <v>1</v>
      </c>
      <c r="CL7" s="47" t="b">
        <f>IF(OR($E78&lt;&gt;0,$I78&lt;&gt;0),$E78&gt;=$I78,TRUE)</f>
        <v>1</v>
      </c>
    </row>
    <row r="8" spans="1:90" ht="16.5" customHeight="1" thickBot="1" x14ac:dyDescent="0.3">
      <c r="B8" s="58" t="s">
        <v>334</v>
      </c>
      <c r="C8" s="59" t="s">
        <v>335</v>
      </c>
      <c r="D8" s="60" t="s">
        <v>336</v>
      </c>
      <c r="E8" s="92">
        <f t="shared" ref="E8:E68" si="0">G8+H8</f>
        <v>0</v>
      </c>
      <c r="F8" s="151"/>
      <c r="G8" s="151"/>
      <c r="H8" s="92"/>
      <c r="I8" s="92">
        <f t="shared" ref="I8:I71" si="1">K8+M8</f>
        <v>0</v>
      </c>
      <c r="J8" s="92">
        <f t="shared" ref="J8:J71" si="2">L8+N8</f>
        <v>0</v>
      </c>
      <c r="K8" s="151"/>
      <c r="L8" s="151"/>
      <c r="M8" s="92"/>
      <c r="N8" s="92"/>
      <c r="O8" s="445" t="str">
        <f>IF(Q8&gt;0,"гр.5 &gt;= гр.9 по строке "&amp;P8,"ОК")</f>
        <v>ОК</v>
      </c>
      <c r="P8" s="415" t="str">
        <f>IF(Q8&gt;0,INDEX($C$7:$C$78,Q8,1),CHAR(151))</f>
        <v>—</v>
      </c>
      <c r="Q8" s="47">
        <f>IF(ISERROR(MATCH(FALSE,S8:CL8,0)),0,MATCH(FALSE,S8:CL8,0))</f>
        <v>0</v>
      </c>
      <c r="R8" s="414"/>
      <c r="S8" s="47" t="b">
        <f>IF(OR($F7&lt;&gt;0,$J7&lt;&gt;0),$F7&gt;=$J7,TRUE)</f>
        <v>1</v>
      </c>
      <c r="T8" s="47" t="b">
        <f>IF(OR($F8&lt;&gt;0,$J8&lt;&gt;0),$F8&gt;=$J8,TRUE)</f>
        <v>1</v>
      </c>
      <c r="U8" s="47" t="b">
        <f>IF(OR($F9&lt;&gt;0,$J9&lt;&gt;0),$F9&gt;=$J9,TRUE)</f>
        <v>1</v>
      </c>
      <c r="V8" s="47" t="b">
        <f>IF(OR($F10&lt;&gt;0,$J10&lt;&gt;0),$F10&gt;=$J10,TRUE)</f>
        <v>1</v>
      </c>
      <c r="W8" s="47" t="b">
        <f>IF(OR($F11&lt;&gt;0,$J11&lt;&gt;0),$F11&gt;=$J11,TRUE)</f>
        <v>1</v>
      </c>
      <c r="X8" s="47" t="b">
        <f>IF(OR($F12&lt;&gt;0,$J12&lt;&gt;0),$F12&gt;=$J12,TRUE)</f>
        <v>1</v>
      </c>
      <c r="Y8" s="47" t="b">
        <f>IF(OR($F13&lt;&gt;0,$J13&lt;&gt;0),$F13&gt;=$J13,TRUE)</f>
        <v>1</v>
      </c>
      <c r="Z8" s="47" t="b">
        <f>IF(OR($F14&lt;&gt;0,$J14&lt;&gt;0),$F14&gt;=$J14,TRUE)</f>
        <v>1</v>
      </c>
      <c r="AA8" s="47" t="b">
        <f>IF(OR($F15&lt;&gt;0,$J15&lt;&gt;0),$F15&gt;=$J15,TRUE)</f>
        <v>1</v>
      </c>
      <c r="AB8" s="47" t="b">
        <f>IF(OR($F16&lt;&gt;0,$J16&lt;&gt;0),$F16&gt;=$J16,TRUE)</f>
        <v>1</v>
      </c>
      <c r="AC8" s="47" t="b">
        <f>IF(OR($F17&lt;&gt;0,$J17&lt;&gt;0),$F17&gt;=$J17,TRUE)</f>
        <v>1</v>
      </c>
      <c r="AD8" s="47" t="b">
        <f>IF(OR($F18&lt;&gt;0,$J18&lt;&gt;0),$F18&gt;=$J18,TRUE)</f>
        <v>1</v>
      </c>
      <c r="AE8" s="47" t="b">
        <f>IF(OR($F19&lt;&gt;0,$J19&lt;&gt;0),$F19&gt;=$J19,TRUE)</f>
        <v>1</v>
      </c>
      <c r="AF8" s="47" t="b">
        <f>IF(OR($F20&lt;&gt;0,$J20&lt;&gt;0),$F20&gt;=$J20,TRUE)</f>
        <v>1</v>
      </c>
      <c r="AG8" s="47" t="b">
        <f>IF(OR($F21&lt;&gt;0,$J21&lt;&gt;0),$F21&gt;=$J21,TRUE)</f>
        <v>1</v>
      </c>
      <c r="AH8" s="47" t="b">
        <f>IF(OR($F22&lt;&gt;0,$J22&lt;&gt;0),$F22&gt;=$J22,TRUE)</f>
        <v>1</v>
      </c>
      <c r="AI8" s="47" t="b">
        <f>IF(OR($F23&lt;&gt;0,$J23&lt;&gt;0),$F23&gt;=$J23,TRUE)</f>
        <v>1</v>
      </c>
      <c r="AJ8" s="47" t="b">
        <f>IF(OR($F24&lt;&gt;0,$J24&lt;&gt;0),$F24&gt;=$J24,TRUE)</f>
        <v>1</v>
      </c>
      <c r="AK8" s="47" t="b">
        <f>IF(OR($F25&lt;&gt;0,$J25&lt;&gt;0),$F25&gt;=$J25,TRUE)</f>
        <v>1</v>
      </c>
      <c r="AL8" s="47" t="b">
        <f>IF(OR($F26&lt;&gt;0,$J26&lt;&gt;0),$F26&gt;=$J26,TRUE)</f>
        <v>1</v>
      </c>
      <c r="AM8" s="47" t="b">
        <f>IF(OR($F27&lt;&gt;0,$J27&lt;&gt;0),$F27&gt;=$J27,TRUE)</f>
        <v>1</v>
      </c>
      <c r="AN8" s="47" t="b">
        <f>IF(OR($F28&lt;&gt;0,$J28&lt;&gt;0),$F28&gt;=$J28,TRUE)</f>
        <v>1</v>
      </c>
      <c r="AO8" s="47" t="b">
        <f>IF(OR($F29&lt;&gt;0,$J29&lt;&gt;0),$F29&gt;=$J29,TRUE)</f>
        <v>1</v>
      </c>
      <c r="AP8" s="47" t="b">
        <f>IF(OR($F30&lt;&gt;0,$J30&lt;&gt;0),$F30&gt;=$J30,TRUE)</f>
        <v>1</v>
      </c>
      <c r="AQ8" s="47" t="b">
        <f>IF(OR($F31&lt;&gt;0,$J31&lt;&gt;0),$F31&gt;=$J31,TRUE)</f>
        <v>1</v>
      </c>
      <c r="AR8" s="47" t="b">
        <f>IF(OR($F32&lt;&gt;0,$J32&lt;&gt;0),$F32&gt;=$J32,TRUE)</f>
        <v>1</v>
      </c>
      <c r="AS8" s="47" t="b">
        <f>IF(OR($F33&lt;&gt;0,$J33&lt;&gt;0),$F33&gt;=$J33,TRUE)</f>
        <v>1</v>
      </c>
      <c r="AT8" s="47" t="b">
        <f>IF(OR($F34&lt;&gt;0,$J34&lt;&gt;0),$F34&gt;=$J34,TRUE)</f>
        <v>1</v>
      </c>
      <c r="AU8" s="47" t="b">
        <f>IF(OR($F35&lt;&gt;0,$J35&lt;&gt;0),$F35&gt;=$J35,TRUE)</f>
        <v>1</v>
      </c>
      <c r="AV8" s="47" t="b">
        <f>IF(OR($F36&lt;&gt;0,$J36&lt;&gt;0),$F36&gt;=$J36,TRUE)</f>
        <v>1</v>
      </c>
      <c r="AW8" s="47" t="b">
        <f>IF(OR($F37&lt;&gt;0,$J37&lt;&gt;0),$F37&gt;=$J37,TRUE)</f>
        <v>1</v>
      </c>
      <c r="AX8" s="47" t="b">
        <f>IF(OR($F38&lt;&gt;0,$J38&lt;&gt;0),$F38&gt;=$J38,TRUE)</f>
        <v>1</v>
      </c>
      <c r="AY8" s="47" t="b">
        <f>IF(OR($F39&lt;&gt;0,$J39&lt;&gt;0),$F39&gt;=$J39,TRUE)</f>
        <v>1</v>
      </c>
      <c r="AZ8" s="47" t="b">
        <f>IF(OR($F40&lt;&gt;0,$J40&lt;&gt;0),$F40&gt;=$J40,TRUE)</f>
        <v>1</v>
      </c>
      <c r="BA8" s="47" t="b">
        <f>IF(OR($F41&lt;&gt;0,$J41&lt;&gt;0),$F41&gt;=$J41,TRUE)</f>
        <v>1</v>
      </c>
      <c r="BB8" s="47" t="b">
        <f>IF(OR($F42&lt;&gt;0,$J42&lt;&gt;0),$F42&gt;=$J42,TRUE)</f>
        <v>1</v>
      </c>
      <c r="BC8" s="47" t="b">
        <f>IF(OR($F43&lt;&gt;0,$J43&lt;&gt;0),$F43&gt;=$J43,TRUE)</f>
        <v>1</v>
      </c>
      <c r="BD8" s="47" t="b">
        <f>IF(OR($F44&lt;&gt;0,$J44&lt;&gt;0),$F44&gt;=$J44,TRUE)</f>
        <v>1</v>
      </c>
      <c r="BE8" s="47" t="b">
        <f>IF(OR($F45&lt;&gt;0,$J45&lt;&gt;0),$F45&gt;=$J45,TRUE)</f>
        <v>1</v>
      </c>
      <c r="BF8" s="47" t="b">
        <f>IF(OR($F46&lt;&gt;0,$J46&lt;&gt;0),$F46&gt;=$J46,TRUE)</f>
        <v>1</v>
      </c>
      <c r="BG8" s="47" t="b">
        <f>IF(OR($F47&lt;&gt;0,$J47&lt;&gt;0),$F47&gt;=$J47,TRUE)</f>
        <v>1</v>
      </c>
      <c r="BH8" s="47" t="b">
        <f>IF(OR($F48&lt;&gt;0,$J48&lt;&gt;0),$F48&gt;=$J48,TRUE)</f>
        <v>1</v>
      </c>
      <c r="BI8" s="47" t="b">
        <f>IF(OR($F49&lt;&gt;0,$J49&lt;&gt;0),$F49&gt;=$J49,TRUE)</f>
        <v>1</v>
      </c>
      <c r="BJ8" s="47" t="b">
        <f>IF(OR($F50&lt;&gt;0,$J50&lt;&gt;0),$F50&gt;=$J50,TRUE)</f>
        <v>1</v>
      </c>
      <c r="BK8" s="47" t="b">
        <f>IF(OR($F51&lt;&gt;0,$J51&lt;&gt;0),$F51&gt;=$J51,TRUE)</f>
        <v>1</v>
      </c>
      <c r="BL8" s="47" t="b">
        <f>IF(OR($F52&lt;&gt;0,$J52&lt;&gt;0),$F52&gt;=$J52,TRUE)</f>
        <v>1</v>
      </c>
      <c r="BM8" s="47" t="b">
        <f>IF(OR($F53&lt;&gt;0,$J53&lt;&gt;0),$F53&gt;=$J53,TRUE)</f>
        <v>1</v>
      </c>
      <c r="BN8" s="47" t="b">
        <f>IF(OR($F54&lt;&gt;0,$J54&lt;&gt;0),$F54&gt;=$J54,TRUE)</f>
        <v>1</v>
      </c>
      <c r="BO8" s="47" t="b">
        <f>IF(OR($F55&lt;&gt;0,$J55&lt;&gt;0),$F55&gt;=$J55,TRUE)</f>
        <v>1</v>
      </c>
      <c r="BP8" s="47" t="b">
        <f>IF(OR($F56&lt;&gt;0,$J56&lt;&gt;0),$F56&gt;=$J56,TRUE)</f>
        <v>1</v>
      </c>
      <c r="BQ8" s="47" t="b">
        <f>IF(OR($F57&lt;&gt;0,$J57&lt;&gt;0),$F57&gt;=$J57,TRUE)</f>
        <v>1</v>
      </c>
      <c r="BR8" s="47" t="b">
        <f>IF(OR($F58&lt;&gt;0,$J58&lt;&gt;0),$F58&gt;=$J58,TRUE)</f>
        <v>1</v>
      </c>
      <c r="BS8" s="47" t="b">
        <f>IF(OR($F59&lt;&gt;0,$J59&lt;&gt;0),$F59&gt;=$J59,TRUE)</f>
        <v>1</v>
      </c>
      <c r="BT8" s="47" t="b">
        <f>IF(OR($F60&lt;&gt;0,$J60&lt;&gt;0),$F60&gt;=$J60,TRUE)</f>
        <v>1</v>
      </c>
      <c r="BU8" s="47" t="b">
        <f>IF(OR($F61&lt;&gt;0,$J61&lt;&gt;0),$F61&gt;=$J61,TRUE)</f>
        <v>1</v>
      </c>
      <c r="BV8" s="47" t="b">
        <f>IF(OR($F62&lt;&gt;0,$J62&lt;&gt;0),$F62&gt;=$J62,TRUE)</f>
        <v>1</v>
      </c>
      <c r="BW8" s="47" t="b">
        <f>IF(OR($F63&lt;&gt;0,$J63&lt;&gt;0),$F63&gt;=$J63,TRUE)</f>
        <v>1</v>
      </c>
      <c r="BX8" s="47" t="b">
        <f>IF(OR($F64&lt;&gt;0,$J64&lt;&gt;0),$F64&gt;=$J64,TRUE)</f>
        <v>1</v>
      </c>
      <c r="BY8" s="47" t="b">
        <f>IF(OR($F65&lt;&gt;0,$J65&lt;&gt;0),$F65&gt;=$J65,TRUE)</f>
        <v>1</v>
      </c>
      <c r="BZ8" s="47" t="b">
        <f>IF(OR($F66&lt;&gt;0,$J66&lt;&gt;0),$F66&gt;=$J66,TRUE)</f>
        <v>1</v>
      </c>
      <c r="CA8" s="47" t="b">
        <f>IF(OR($F67&lt;&gt;0,$J67&lt;&gt;0),$F67&gt;=$J67,TRUE)</f>
        <v>1</v>
      </c>
      <c r="CB8" s="47" t="b">
        <f>IF(OR($F68&lt;&gt;0,$J68&lt;&gt;0),$F68&gt;=$J68,TRUE)</f>
        <v>1</v>
      </c>
      <c r="CC8" s="47" t="b">
        <f>IF(OR($F69&lt;&gt;0,$J69&lt;&gt;0),$F69&gt;=$J69,TRUE)</f>
        <v>1</v>
      </c>
      <c r="CD8" s="47" t="b">
        <f>IF(OR($F70&lt;&gt;0,$J70&lt;&gt;0),$F70&gt;=$J70,TRUE)</f>
        <v>1</v>
      </c>
      <c r="CE8" s="47" t="b">
        <f>IF(OR($F71&lt;&gt;0,$J71&lt;&gt;0),$F71&gt;=$J71,TRUE)</f>
        <v>1</v>
      </c>
      <c r="CF8" s="47" t="b">
        <f>IF(OR($F72&lt;&gt;0,$J72&lt;&gt;0),$F72&gt;=$J72,TRUE)</f>
        <v>1</v>
      </c>
      <c r="CG8" s="47" t="b">
        <f>IF(OR($F73&lt;&gt;0,$J73&lt;&gt;0),$F73&gt;=$J73,TRUE)</f>
        <v>1</v>
      </c>
      <c r="CH8" s="47" t="b">
        <f>IF(OR($F74&lt;&gt;0,$J74&lt;&gt;0),$F74&gt;=$J74,TRUE)</f>
        <v>1</v>
      </c>
      <c r="CI8" s="47" t="b">
        <f>IF(OR($F75&lt;&gt;0,$J75&lt;&gt;0),$F75&gt;=$J75,TRUE)</f>
        <v>1</v>
      </c>
      <c r="CJ8" s="47" t="b">
        <f>IF(OR($F76&lt;&gt;0,$J76&lt;&gt;0),$F76&gt;=$J76,TRUE)</f>
        <v>1</v>
      </c>
      <c r="CK8" s="47" t="b">
        <f>IF(OR($F77&lt;&gt;0,$J77&lt;&gt;0),$F77&gt;=$J77,TRUE)</f>
        <v>1</v>
      </c>
      <c r="CL8" s="47" t="b">
        <f>IF(OR($F78&lt;&gt;0,$J78&lt;&gt;0),$F78&gt;=$J78,TRUE)</f>
        <v>1</v>
      </c>
    </row>
    <row r="9" spans="1:90" ht="16.5" customHeight="1" thickBot="1" x14ac:dyDescent="0.3">
      <c r="B9" s="61" t="s">
        <v>337</v>
      </c>
      <c r="C9" s="62">
        <v>2</v>
      </c>
      <c r="D9" s="63" t="s">
        <v>338</v>
      </c>
      <c r="E9" s="92">
        <f t="shared" si="0"/>
        <v>2</v>
      </c>
      <c r="F9" s="151">
        <v>2</v>
      </c>
      <c r="G9" s="151">
        <v>2</v>
      </c>
      <c r="H9" s="92"/>
      <c r="I9" s="92">
        <f t="shared" si="1"/>
        <v>0</v>
      </c>
      <c r="J9" s="92">
        <f t="shared" si="2"/>
        <v>0</v>
      </c>
      <c r="K9" s="151"/>
      <c r="L9" s="151"/>
      <c r="M9" s="92"/>
      <c r="N9" s="92"/>
      <c r="O9" s="445" t="str">
        <f>IF(Q9&gt;0,"гр.6 &gt;= гр.10 по строке "&amp;P9,"ОК")</f>
        <v>ОК</v>
      </c>
      <c r="P9" s="415" t="str">
        <f>IF(Q9&gt;0,INDEX($C$7:$C$78,Q9,1),CHAR(151))</f>
        <v>—</v>
      </c>
      <c r="Q9" s="47">
        <f>IF(ISERROR(MATCH(FALSE,S9:CL9,0)),0,MATCH(FALSE,S9:CL9,0))</f>
        <v>0</v>
      </c>
      <c r="R9" s="414"/>
      <c r="S9" s="47" t="b">
        <f>IF(OR($G7&lt;&gt;0,$K7&lt;&gt;0),$G7&gt;=$K7,TRUE)</f>
        <v>1</v>
      </c>
      <c r="T9" s="47" t="b">
        <f>IF(OR($G8&lt;&gt;0,$K8&lt;&gt;0),$G8&gt;=$K8,TRUE)</f>
        <v>1</v>
      </c>
      <c r="U9" s="47" t="b">
        <f>IF(OR($G9&lt;&gt;0,$K9&lt;&gt;0),$G9&gt;=$K9,TRUE)</f>
        <v>1</v>
      </c>
      <c r="V9" s="47" t="b">
        <f>IF(OR($G10&lt;&gt;0,$K10&lt;&gt;0),$G10&gt;=$K10,TRUE)</f>
        <v>1</v>
      </c>
      <c r="W9" s="47" t="b">
        <f>IF(OR($G11&lt;&gt;0,$K11&lt;&gt;0),$G11&gt;=$K11,TRUE)</f>
        <v>1</v>
      </c>
      <c r="X9" s="47" t="b">
        <f>IF(OR($G12&lt;&gt;0,$K12&lt;&gt;0),$G12&gt;=$K12,TRUE)</f>
        <v>1</v>
      </c>
      <c r="Y9" s="47" t="b">
        <f>IF(OR($G13&lt;&gt;0,$K13&lt;&gt;0),$G13&gt;=$K13,TRUE)</f>
        <v>1</v>
      </c>
      <c r="Z9" s="47" t="b">
        <f>IF(OR($G14&lt;&gt;0,$K14&lt;&gt;0),$G14&gt;=$K14,TRUE)</f>
        <v>1</v>
      </c>
      <c r="AA9" s="47" t="b">
        <f>IF(OR($G15&lt;&gt;0,$K15&lt;&gt;0),$G15&gt;=$K15,TRUE)</f>
        <v>1</v>
      </c>
      <c r="AB9" s="47" t="b">
        <f>IF(OR($G16&lt;&gt;0,$K16&lt;&gt;0),$G16&gt;=$K16,TRUE)</f>
        <v>1</v>
      </c>
      <c r="AC9" s="47" t="b">
        <f>IF(OR($G17&lt;&gt;0,$K17&lt;&gt;0),$G17&gt;=$K17,TRUE)</f>
        <v>1</v>
      </c>
      <c r="AD9" s="47" t="b">
        <f>IF(OR($G18&lt;&gt;0,$K18&lt;&gt;0),$G18&gt;=$K18,TRUE)</f>
        <v>1</v>
      </c>
      <c r="AE9" s="47" t="b">
        <f>IF(OR($G19&lt;&gt;0,$K19&lt;&gt;0),$G19&gt;=$K19,TRUE)</f>
        <v>1</v>
      </c>
      <c r="AF9" s="47" t="b">
        <f>IF(OR($G20&lt;&gt;0,$K20&lt;&gt;0),$G20&gt;=$K20,TRUE)</f>
        <v>1</v>
      </c>
      <c r="AG9" s="47" t="b">
        <f>IF(OR($G21&lt;&gt;0,$K21&lt;&gt;0),$G21&gt;=$K21,TRUE)</f>
        <v>1</v>
      </c>
      <c r="AH9" s="47" t="b">
        <f>IF(OR($G22&lt;&gt;0,$K22&lt;&gt;0),$G22&gt;=$K22,TRUE)</f>
        <v>1</v>
      </c>
      <c r="AI9" s="47" t="b">
        <f>IF(OR($G23&lt;&gt;0,$K23&lt;&gt;0),$G23&gt;=$K23,TRUE)</f>
        <v>1</v>
      </c>
      <c r="AJ9" s="47" t="b">
        <f>IF(OR($G24&lt;&gt;0,$K24&lt;&gt;0),$G24&gt;=$K24,TRUE)</f>
        <v>1</v>
      </c>
      <c r="AK9" s="47" t="b">
        <f>IF(OR($G25&lt;&gt;0,$K25&lt;&gt;0),$G25&gt;=$K25,TRUE)</f>
        <v>1</v>
      </c>
      <c r="AL9" s="47" t="b">
        <f>IF(OR($G26&lt;&gt;0,$K26&lt;&gt;0),$G26&gt;=$K26,TRUE)</f>
        <v>1</v>
      </c>
      <c r="AM9" s="47" t="b">
        <f>IF(OR($G27&lt;&gt;0,$K27&lt;&gt;0),$G27&gt;=$K27,TRUE)</f>
        <v>1</v>
      </c>
      <c r="AN9" s="47" t="b">
        <f>IF(OR($G28&lt;&gt;0,$K28&lt;&gt;0),$G28&gt;=$K28,TRUE)</f>
        <v>1</v>
      </c>
      <c r="AO9" s="47" t="b">
        <f>IF(OR($G29&lt;&gt;0,$K29&lt;&gt;0),$G29&gt;=$K29,TRUE)</f>
        <v>1</v>
      </c>
      <c r="AP9" s="47" t="b">
        <f>IF(OR($G30&lt;&gt;0,$K30&lt;&gt;0),$G30&gt;=$K30,TRUE)</f>
        <v>1</v>
      </c>
      <c r="AQ9" s="47" t="b">
        <f>IF(OR($G31&lt;&gt;0,$K31&lt;&gt;0),$G31&gt;=$K31,TRUE)</f>
        <v>1</v>
      </c>
      <c r="AR9" s="47" t="b">
        <f>IF(OR($G32&lt;&gt;0,$K32&lt;&gt;0),$G32&gt;=$K32,TRUE)</f>
        <v>1</v>
      </c>
      <c r="AS9" s="47" t="b">
        <f>IF(OR($G33&lt;&gt;0,$K33&lt;&gt;0),$G33&gt;=$K33,TRUE)</f>
        <v>1</v>
      </c>
      <c r="AT9" s="47" t="b">
        <f>IF(OR($G34&lt;&gt;0,$K34&lt;&gt;0),$G34&gt;=$K34,TRUE)</f>
        <v>1</v>
      </c>
      <c r="AU9" s="47" t="b">
        <f>IF(OR($G35&lt;&gt;0,$K35&lt;&gt;0),$G35&gt;=$K35,TRUE)</f>
        <v>1</v>
      </c>
      <c r="AV9" s="47" t="b">
        <f>IF(OR($G36&lt;&gt;0,$K36&lt;&gt;0),$G36&gt;=$K36,TRUE)</f>
        <v>1</v>
      </c>
      <c r="AW9" s="47" t="b">
        <f>IF(OR($G37&lt;&gt;0,$K37&lt;&gt;0),$G37&gt;=$K37,TRUE)</f>
        <v>1</v>
      </c>
      <c r="AX9" s="47" t="b">
        <f>IF(OR($G38&lt;&gt;0,$K38&lt;&gt;0),$G38&gt;=$K38,TRUE)</f>
        <v>1</v>
      </c>
      <c r="AY9" s="47" t="b">
        <f>IF(OR($G39&lt;&gt;0,$K39&lt;&gt;0),$G39&gt;=$K39,TRUE)</f>
        <v>1</v>
      </c>
      <c r="AZ9" s="47" t="b">
        <f>IF(OR($G40&lt;&gt;0,$K40&lt;&gt;0),$G40&gt;=$K40,TRUE)</f>
        <v>1</v>
      </c>
      <c r="BA9" s="47" t="b">
        <f>IF(OR($G41&lt;&gt;0,$K41&lt;&gt;0),$G41&gt;=$K41,TRUE)</f>
        <v>1</v>
      </c>
      <c r="BB9" s="47" t="b">
        <f>IF(OR($G42&lt;&gt;0,$K42&lt;&gt;0),$G42&gt;=$K42,TRUE)</f>
        <v>1</v>
      </c>
      <c r="BC9" s="47" t="b">
        <f>IF(OR($G43&lt;&gt;0,$K43&lt;&gt;0),$G43&gt;=$K43,TRUE)</f>
        <v>1</v>
      </c>
      <c r="BD9" s="47" t="b">
        <f>IF(OR($G44&lt;&gt;0,$K44&lt;&gt;0),$G44&gt;=$K44,TRUE)</f>
        <v>1</v>
      </c>
      <c r="BE9" s="47" t="b">
        <f>IF(OR($G45&lt;&gt;0,$K45&lt;&gt;0),$G45&gt;=$K45,TRUE)</f>
        <v>1</v>
      </c>
      <c r="BF9" s="47" t="b">
        <f>IF(OR($G46&lt;&gt;0,$K46&lt;&gt;0),$G46&gt;=$K46,TRUE)</f>
        <v>1</v>
      </c>
      <c r="BG9" s="47" t="b">
        <f>IF(OR($G47&lt;&gt;0,$K47&lt;&gt;0),$G47&gt;=$K47,TRUE)</f>
        <v>1</v>
      </c>
      <c r="BH9" s="47" t="b">
        <f>IF(OR($G48&lt;&gt;0,$K48&lt;&gt;0),$G48&gt;=$K48,TRUE)</f>
        <v>1</v>
      </c>
      <c r="BI9" s="47" t="b">
        <f>IF(OR($G49&lt;&gt;0,$K49&lt;&gt;0),$G49&gt;=$K49,TRUE)</f>
        <v>1</v>
      </c>
      <c r="BJ9" s="47" t="b">
        <f>IF(OR($G50&lt;&gt;0,$K50&lt;&gt;0),$G50&gt;=$K50,TRUE)</f>
        <v>1</v>
      </c>
      <c r="BK9" s="47" t="b">
        <f>IF(OR($G51&lt;&gt;0,$K51&lt;&gt;0),$G51&gt;=$K51,TRUE)</f>
        <v>1</v>
      </c>
      <c r="BL9" s="47" t="b">
        <f>IF(OR($G52&lt;&gt;0,$K52&lt;&gt;0),$G52&gt;=$K52,TRUE)</f>
        <v>1</v>
      </c>
      <c r="BM9" s="47" t="b">
        <f>IF(OR($G53&lt;&gt;0,$K53&lt;&gt;0),$G53&gt;=$K53,TRUE)</f>
        <v>1</v>
      </c>
      <c r="BN9" s="47" t="b">
        <f>IF(OR($G54&lt;&gt;0,$K54&lt;&gt;0),$G54&gt;=$K54,TRUE)</f>
        <v>1</v>
      </c>
      <c r="BO9" s="47" t="b">
        <f>IF(OR($G55&lt;&gt;0,$K55&lt;&gt;0),$G55&gt;=$K55,TRUE)</f>
        <v>1</v>
      </c>
      <c r="BP9" s="47" t="b">
        <f>IF(OR($G56&lt;&gt;0,$K56&lt;&gt;0),$G56&gt;=$K56,TRUE)</f>
        <v>1</v>
      </c>
      <c r="BQ9" s="47" t="b">
        <f>IF(OR($G57&lt;&gt;0,$K57&lt;&gt;0),$G57&gt;=$K57,TRUE)</f>
        <v>1</v>
      </c>
      <c r="BR9" s="47" t="b">
        <f>IF(OR($G58&lt;&gt;0,$K58&lt;&gt;0),$G58&gt;=$K58,TRUE)</f>
        <v>1</v>
      </c>
      <c r="BS9" s="47" t="b">
        <f>IF(OR($G59&lt;&gt;0,$K59&lt;&gt;0),$G59&gt;=$K59,TRUE)</f>
        <v>1</v>
      </c>
      <c r="BT9" s="47" t="b">
        <f>IF(OR($G60&lt;&gt;0,$K60&lt;&gt;0),$G60&gt;=$K60,TRUE)</f>
        <v>1</v>
      </c>
      <c r="BU9" s="47" t="b">
        <f>IF(OR($G61&lt;&gt;0,$K61&lt;&gt;0),$G61&gt;=$K61,TRUE)</f>
        <v>1</v>
      </c>
      <c r="BV9" s="47" t="b">
        <f>IF(OR($G62&lt;&gt;0,$K62&lt;&gt;0),$G62&gt;=$K62,TRUE)</f>
        <v>1</v>
      </c>
      <c r="BW9" s="47" t="b">
        <f>IF(OR($G63&lt;&gt;0,$K63&lt;&gt;0),$G63&gt;=$K63,TRUE)</f>
        <v>1</v>
      </c>
      <c r="BX9" s="47" t="b">
        <f>IF(OR($G64&lt;&gt;0,$K64&lt;&gt;0),$G64&gt;=$K64,TRUE)</f>
        <v>1</v>
      </c>
      <c r="BY9" s="47" t="b">
        <f>IF(OR($G65&lt;&gt;0,$K65&lt;&gt;0),$G65&gt;=$K65,TRUE)</f>
        <v>1</v>
      </c>
      <c r="BZ9" s="47" t="b">
        <f>IF(OR($G66&lt;&gt;0,$K66&lt;&gt;0),$G66&gt;=$K66,TRUE)</f>
        <v>1</v>
      </c>
      <c r="CA9" s="47" t="b">
        <f>IF(OR($G67&lt;&gt;0,$K67&lt;&gt;0),$G67&gt;=$K67,TRUE)</f>
        <v>1</v>
      </c>
      <c r="CB9" s="47" t="b">
        <f>IF(OR($G68&lt;&gt;0,$K68&lt;&gt;0),$G68&gt;=$K68,TRUE)</f>
        <v>1</v>
      </c>
      <c r="CC9" s="47" t="b">
        <f>IF(OR($G69&lt;&gt;0,$K69&lt;&gt;0),$G69&gt;=$K69,TRUE)</f>
        <v>1</v>
      </c>
      <c r="CD9" s="47" t="b">
        <f>IF(OR($G70&lt;&gt;0,$K70&lt;&gt;0),$G70&gt;=$K70,TRUE)</f>
        <v>1</v>
      </c>
      <c r="CE9" s="47" t="b">
        <f>IF(OR($G71&lt;&gt;0,$K71&lt;&gt;0),$G71&gt;=$K71,TRUE)</f>
        <v>1</v>
      </c>
      <c r="CF9" s="47" t="b">
        <f>IF(OR($G72&lt;&gt;0,$K72&lt;&gt;0),$G72&gt;=$K72,TRUE)</f>
        <v>1</v>
      </c>
      <c r="CG9" s="47" t="b">
        <f>IF(OR($G73&lt;&gt;0,$K73&lt;&gt;0),$G73&gt;=$K73,TRUE)</f>
        <v>1</v>
      </c>
      <c r="CH9" s="47" t="b">
        <f>IF(OR($G74&lt;&gt;0,$K74&lt;&gt;0),$G74&gt;=$K74,TRUE)</f>
        <v>1</v>
      </c>
      <c r="CI9" s="47" t="b">
        <f>IF(OR($G75&lt;&gt;0,$K75&lt;&gt;0),$G75&gt;=$K75,TRUE)</f>
        <v>1</v>
      </c>
      <c r="CJ9" s="47" t="b">
        <f>IF(OR($G76&lt;&gt;0,$K76&lt;&gt;0),$G76&gt;=$K76,TRUE)</f>
        <v>1</v>
      </c>
      <c r="CK9" s="47" t="b">
        <f>IF(OR($G77&lt;&gt;0,$K77&lt;&gt;0),$G77&gt;=$K77,TRUE)</f>
        <v>1</v>
      </c>
      <c r="CL9" s="47" t="b">
        <f>IF(OR($G78&lt;&gt;0,$K78&lt;&gt;0),$G78&gt;=$K78,TRUE)</f>
        <v>1</v>
      </c>
    </row>
    <row r="10" spans="1:90" ht="19.5" thickBot="1" x14ac:dyDescent="0.3">
      <c r="B10" s="64" t="s">
        <v>178</v>
      </c>
      <c r="C10" s="67" t="s">
        <v>243</v>
      </c>
      <c r="D10" s="65" t="s">
        <v>179</v>
      </c>
      <c r="E10" s="92">
        <f t="shared" si="0"/>
        <v>2</v>
      </c>
      <c r="F10" s="151">
        <v>2</v>
      </c>
      <c r="G10" s="151">
        <v>2</v>
      </c>
      <c r="H10" s="92"/>
      <c r="I10" s="92">
        <f t="shared" si="1"/>
        <v>0</v>
      </c>
      <c r="J10" s="92">
        <f t="shared" si="2"/>
        <v>0</v>
      </c>
      <c r="K10" s="92">
        <f>'профосмотры 124н'!$N$8</f>
        <v>0</v>
      </c>
      <c r="L10" s="92">
        <f>'профосмотры 124н'!$N$16</f>
        <v>0</v>
      </c>
      <c r="M10" s="92"/>
      <c r="N10" s="92"/>
      <c r="O10" s="445" t="str">
        <f>IF(Q10&gt;0,"гр.7 &gt;= гр.12 по строке "&amp;P10,"ОК")</f>
        <v>ОК</v>
      </c>
      <c r="P10" s="415" t="str">
        <f>IF(Q10&gt;0,INDEX($C$7:$C$78,Q10,1),CHAR(151))</f>
        <v>—</v>
      </c>
      <c r="Q10" s="47">
        <f>IF(ISERROR(MATCH(FALSE,S10:CL10,0)),0,MATCH(FALSE,S10:CL10,0))</f>
        <v>0</v>
      </c>
      <c r="R10" s="414"/>
      <c r="S10" s="47" t="b">
        <f>IF(OR($H7&lt;&gt;0,$M7&lt;&gt;0),$H7&gt;=$M7,TRUE)</f>
        <v>1</v>
      </c>
      <c r="T10" s="47" t="b">
        <f>IF(OR($H8&lt;&gt;0,$M8&lt;&gt;0),$H8&gt;=$M8,TRUE)</f>
        <v>1</v>
      </c>
      <c r="U10" s="47" t="b">
        <f>IF(OR($H9&lt;&gt;0,$M9&lt;&gt;0),$H9&gt;=$M9,TRUE)</f>
        <v>1</v>
      </c>
      <c r="V10" s="47" t="b">
        <f>IF(OR($H10&lt;&gt;0,$M10&lt;&gt;0),$H10&gt;=$M10,TRUE)</f>
        <v>1</v>
      </c>
      <c r="W10" s="47" t="b">
        <f>IF(OR($H11&lt;&gt;0,$M11&lt;&gt;0),$H11&gt;=$M11,TRUE)</f>
        <v>1</v>
      </c>
      <c r="X10" s="47" t="b">
        <f>IF(OR($H12&lt;&gt;0,$M12&lt;&gt;0),$H12&gt;=$M12,TRUE)</f>
        <v>1</v>
      </c>
      <c r="Y10" s="47" t="b">
        <f>IF(OR($H13&lt;&gt;0,$M13&lt;&gt;0),$H13&gt;=$M13,TRUE)</f>
        <v>1</v>
      </c>
      <c r="Z10" s="47" t="b">
        <f>IF(OR($H14&lt;&gt;0,$M14&lt;&gt;0),$H14&gt;=$M14,TRUE)</f>
        <v>1</v>
      </c>
      <c r="AA10" s="47" t="b">
        <f>IF(OR($H15&lt;&gt;0,$M15&lt;&gt;0),$H15&gt;=$M15,TRUE)</f>
        <v>1</v>
      </c>
      <c r="AB10" s="47" t="b">
        <f>IF(OR($H16&lt;&gt;0,$M16&lt;&gt;0),$H16&gt;=$M16,TRUE)</f>
        <v>1</v>
      </c>
      <c r="AC10" s="47" t="b">
        <f>IF(OR($H17&lt;&gt;0,$M17&lt;&gt;0),$H17&gt;=$M17,TRUE)</f>
        <v>1</v>
      </c>
      <c r="AD10" s="47" t="b">
        <f>IF(OR($H18&lt;&gt;0,$M18&lt;&gt;0),$H18&gt;=$M18,TRUE)</f>
        <v>1</v>
      </c>
      <c r="AE10" s="47" t="b">
        <f>IF(OR($H19&lt;&gt;0,$M19&lt;&gt;0),$H19&gt;=$M19,TRUE)</f>
        <v>1</v>
      </c>
      <c r="AF10" s="47" t="b">
        <f>IF(OR($H20&lt;&gt;0,$M20&lt;&gt;0),$H20&gt;=$M20,TRUE)</f>
        <v>1</v>
      </c>
      <c r="AG10" s="47" t="b">
        <f>IF(OR($H21&lt;&gt;0,$M21&lt;&gt;0),$H21&gt;=$M21,TRUE)</f>
        <v>1</v>
      </c>
      <c r="AH10" s="47" t="b">
        <f>IF(OR($H22&lt;&gt;0,$M22&lt;&gt;0),$H22&gt;=$M22,TRUE)</f>
        <v>1</v>
      </c>
      <c r="AI10" s="47" t="b">
        <f>IF(OR($H23&lt;&gt;0,$M23&lt;&gt;0),$H23&gt;=$M23,TRUE)</f>
        <v>1</v>
      </c>
      <c r="AJ10" s="47" t="b">
        <f>IF(OR($H24&lt;&gt;0,$M24&lt;&gt;0),$H24&gt;=$M24,TRUE)</f>
        <v>1</v>
      </c>
      <c r="AK10" s="47" t="b">
        <f>IF(OR($H25&lt;&gt;0,$M25&lt;&gt;0),$H25&gt;=$M25,TRUE)</f>
        <v>1</v>
      </c>
      <c r="AL10" s="47" t="b">
        <f>IF(OR($H26&lt;&gt;0,$M26&lt;&gt;0),$H26&gt;=$M26,TRUE)</f>
        <v>1</v>
      </c>
      <c r="AM10" s="47" t="b">
        <f>IF(OR($H27&lt;&gt;0,$M27&lt;&gt;0),$H27&gt;=$M27,TRUE)</f>
        <v>1</v>
      </c>
      <c r="AN10" s="47" t="b">
        <f>IF(OR($H28&lt;&gt;0,$M28&lt;&gt;0),$H28&gt;=$M28,TRUE)</f>
        <v>1</v>
      </c>
      <c r="AO10" s="47" t="b">
        <f>IF(OR($H29&lt;&gt;0,$M29&lt;&gt;0),$H29&gt;=$M29,TRUE)</f>
        <v>1</v>
      </c>
      <c r="AP10" s="47" t="b">
        <f>IF(OR($H30&lt;&gt;0,$M30&lt;&gt;0),$H30&gt;=$M30,TRUE)</f>
        <v>1</v>
      </c>
      <c r="AQ10" s="47" t="b">
        <f>IF(OR($H31&lt;&gt;0,$M31&lt;&gt;0),$H31&gt;=$M31,TRUE)</f>
        <v>1</v>
      </c>
      <c r="AR10" s="47" t="b">
        <f>IF(OR($H32&lt;&gt;0,$M32&lt;&gt;0),$H32&gt;=$M32,TRUE)</f>
        <v>1</v>
      </c>
      <c r="AS10" s="47" t="b">
        <f>IF(OR($H33&lt;&gt;0,$M33&lt;&gt;0),$H33&gt;=$M33,TRUE)</f>
        <v>1</v>
      </c>
      <c r="AT10" s="47" t="b">
        <f>IF(OR($H34&lt;&gt;0,$M34&lt;&gt;0),$H34&gt;=$M34,TRUE)</f>
        <v>1</v>
      </c>
      <c r="AU10" s="47" t="b">
        <f>IF(OR($H35&lt;&gt;0,$M35&lt;&gt;0),$H35&gt;=$M35,TRUE)</f>
        <v>1</v>
      </c>
      <c r="AV10" s="47" t="b">
        <f>IF(OR($H36&lt;&gt;0,$M36&lt;&gt;0),$H36&gt;=$M36,TRUE)</f>
        <v>1</v>
      </c>
      <c r="AW10" s="47" t="b">
        <f>IF(OR($H37&lt;&gt;0,$M37&lt;&gt;0),$H37&gt;=$M37,TRUE)</f>
        <v>1</v>
      </c>
      <c r="AX10" s="47" t="b">
        <f>IF(OR($H38&lt;&gt;0,$M38&lt;&gt;0),$H38&gt;=$M38,TRUE)</f>
        <v>1</v>
      </c>
      <c r="AY10" s="47" t="b">
        <f>IF(OR($H39&lt;&gt;0,$M39&lt;&gt;0),$H39&gt;=$M39,TRUE)</f>
        <v>1</v>
      </c>
      <c r="AZ10" s="47" t="b">
        <f>IF(OR($H40&lt;&gt;0,$M40&lt;&gt;0),$H40&gt;=$M40,TRUE)</f>
        <v>1</v>
      </c>
      <c r="BA10" s="47" t="b">
        <f>IF(OR($H41&lt;&gt;0,$M41&lt;&gt;0),$H41&gt;=$M41,TRUE)</f>
        <v>1</v>
      </c>
      <c r="BB10" s="47" t="b">
        <f>IF(OR($H42&lt;&gt;0,$M42&lt;&gt;0),$H42&gt;=$M42,TRUE)</f>
        <v>1</v>
      </c>
      <c r="BC10" s="47" t="b">
        <f>IF(OR($H43&lt;&gt;0,$M43&lt;&gt;0),$H43&gt;=$M43,TRUE)</f>
        <v>1</v>
      </c>
      <c r="BD10" s="47" t="b">
        <f>IF(OR($H44&lt;&gt;0,$M44&lt;&gt;0),$H44&gt;=$M44,TRUE)</f>
        <v>1</v>
      </c>
      <c r="BE10" s="47" t="b">
        <f>IF(OR($H45&lt;&gt;0,$M45&lt;&gt;0),$H45&gt;=$M45,TRUE)</f>
        <v>1</v>
      </c>
      <c r="BF10" s="47" t="b">
        <f>IF(OR($H46&lt;&gt;0,$M46&lt;&gt;0),$H46&gt;=$M46,TRUE)</f>
        <v>1</v>
      </c>
      <c r="BG10" s="47" t="b">
        <f>IF(OR($H47&lt;&gt;0,$M47&lt;&gt;0),$H47&gt;=$M47,TRUE)</f>
        <v>1</v>
      </c>
      <c r="BH10" s="47" t="b">
        <f>IF(OR($H48&lt;&gt;0,$M48&lt;&gt;0),$H48&gt;=$M48,TRUE)</f>
        <v>1</v>
      </c>
      <c r="BI10" s="47" t="b">
        <f>IF(OR($H49&lt;&gt;0,$M49&lt;&gt;0),$H49&gt;=$M49,TRUE)</f>
        <v>1</v>
      </c>
      <c r="BJ10" s="47" t="b">
        <f>IF(OR($H50&lt;&gt;0,$M50&lt;&gt;0),$H50&gt;=$M50,TRUE)</f>
        <v>1</v>
      </c>
      <c r="BK10" s="47" t="b">
        <f>IF(OR($H51&lt;&gt;0,$M51&lt;&gt;0),$H51&gt;=$M51,TRUE)</f>
        <v>1</v>
      </c>
      <c r="BL10" s="47" t="b">
        <f>IF(OR($H52&lt;&gt;0,$M52&lt;&gt;0),$H52&gt;=$M52,TRUE)</f>
        <v>1</v>
      </c>
      <c r="BM10" s="47" t="b">
        <f>IF(OR($H53&lt;&gt;0,$M53&lt;&gt;0),$H53&gt;=$M53,TRUE)</f>
        <v>1</v>
      </c>
      <c r="BN10" s="47" t="b">
        <f>IF(OR($H54&lt;&gt;0,$M54&lt;&gt;0),$H54&gt;=$M54,TRUE)</f>
        <v>1</v>
      </c>
      <c r="BO10" s="47" t="b">
        <f>IF(OR($H55&lt;&gt;0,$M55&lt;&gt;0),$H55&gt;=$M55,TRUE)</f>
        <v>1</v>
      </c>
      <c r="BP10" s="47" t="b">
        <f>IF(OR($H56&lt;&gt;0,$M56&lt;&gt;0),$H56&gt;=$M56,TRUE)</f>
        <v>1</v>
      </c>
      <c r="BQ10" s="47" t="b">
        <f>IF(OR($H57&lt;&gt;0,$M57&lt;&gt;0),$H57&gt;=$M57,TRUE)</f>
        <v>1</v>
      </c>
      <c r="BR10" s="47" t="b">
        <f>IF(OR($H58&lt;&gt;0,$M58&lt;&gt;0),$H58&gt;=$M58,TRUE)</f>
        <v>1</v>
      </c>
      <c r="BS10" s="47" t="b">
        <f>IF(OR($H59&lt;&gt;0,$M59&lt;&gt;0),$H59&gt;=$M59,TRUE)</f>
        <v>1</v>
      </c>
      <c r="BT10" s="47" t="b">
        <f>IF(OR($H60&lt;&gt;0,$M60&lt;&gt;0),$H60&gt;=$M60,TRUE)</f>
        <v>1</v>
      </c>
      <c r="BU10" s="47" t="b">
        <f>IF(OR($H61&lt;&gt;0,$M61&lt;&gt;0),$H61&gt;=$M61,TRUE)</f>
        <v>1</v>
      </c>
      <c r="BV10" s="47" t="b">
        <f>IF(OR($H62&lt;&gt;0,$M62&lt;&gt;0),$H62&gt;=$M62,TRUE)</f>
        <v>1</v>
      </c>
      <c r="BW10" s="47" t="b">
        <f>IF(OR($H63&lt;&gt;0,$M63&lt;&gt;0),$H63&gt;=$M63,TRUE)</f>
        <v>1</v>
      </c>
      <c r="BX10" s="47" t="b">
        <f>IF(OR($H64&lt;&gt;0,$M64&lt;&gt;0),$H64&gt;=$M64,TRUE)</f>
        <v>1</v>
      </c>
      <c r="BY10" s="47" t="b">
        <f>IF(OR($H65&lt;&gt;0,$M65&lt;&gt;0),$H65&gt;=$M65,TRUE)</f>
        <v>1</v>
      </c>
      <c r="BZ10" s="47" t="b">
        <f>IF(OR($H66&lt;&gt;0,$M66&lt;&gt;0),$H66&gt;=$M66,TRUE)</f>
        <v>1</v>
      </c>
      <c r="CA10" s="47" t="b">
        <f>IF(OR($H67&lt;&gt;0,$M67&lt;&gt;0),$H67&gt;=$M67,TRUE)</f>
        <v>1</v>
      </c>
      <c r="CB10" s="47" t="b">
        <f>IF(OR($H68&lt;&gt;0,$M68&lt;&gt;0),$H68&gt;=$M68,TRUE)</f>
        <v>1</v>
      </c>
      <c r="CC10" s="47" t="b">
        <f>IF(OR($H69&lt;&gt;0,$M69&lt;&gt;0),$H69&gt;=$M69,TRUE)</f>
        <v>1</v>
      </c>
      <c r="CD10" s="47" t="b">
        <f>IF(OR($H70&lt;&gt;0,$M70&lt;&gt;0),$H70&gt;=$M70,TRUE)</f>
        <v>1</v>
      </c>
      <c r="CE10" s="47" t="b">
        <f>IF(OR($H71&lt;&gt;0,$M71&lt;&gt;0),$H71&gt;=$M71,TRUE)</f>
        <v>1</v>
      </c>
      <c r="CF10" s="47" t="b">
        <f>IF(OR($H72&lt;&gt;0,$M72&lt;&gt;0),$H72&gt;=$M72,TRUE)</f>
        <v>1</v>
      </c>
      <c r="CG10" s="47" t="b">
        <f>IF(OR($H73&lt;&gt;0,$M73&lt;&gt;0),$H73&gt;=$M73,TRUE)</f>
        <v>1</v>
      </c>
      <c r="CH10" s="47" t="b">
        <f>IF(OR($H74&lt;&gt;0,$M74&lt;&gt;0),$H74&gt;=$M74,TRUE)</f>
        <v>1</v>
      </c>
      <c r="CI10" s="47" t="b">
        <f>IF(OR($H75&lt;&gt;0,$M75&lt;&gt;0),$H75&gt;=$M75,TRUE)</f>
        <v>1</v>
      </c>
      <c r="CJ10" s="47" t="b">
        <f>IF(OR($H76&lt;&gt;0,$M76&lt;&gt;0),$H76&gt;=$M76,TRUE)</f>
        <v>1</v>
      </c>
      <c r="CK10" s="47" t="b">
        <f>IF(OR($H77&lt;&gt;0,$M77&lt;&gt;0),$H77&gt;=$M77,TRUE)</f>
        <v>1</v>
      </c>
      <c r="CL10" s="47" t="b">
        <f>IF(OR($H78&lt;&gt;0,$M78&lt;&gt;0),$H78&gt;=$M78,TRUE)</f>
        <v>1</v>
      </c>
    </row>
    <row r="11" spans="1:90" s="5" customFormat="1" ht="63.75" thickBot="1" x14ac:dyDescent="0.3">
      <c r="B11" s="66" t="s">
        <v>180</v>
      </c>
      <c r="C11" s="67" t="s">
        <v>244</v>
      </c>
      <c r="D11" s="847" t="s">
        <v>181</v>
      </c>
      <c r="E11" s="92">
        <f t="shared" si="0"/>
        <v>0</v>
      </c>
      <c r="F11" s="152"/>
      <c r="G11" s="152"/>
      <c r="H11" s="92"/>
      <c r="I11" s="92">
        <f t="shared" si="1"/>
        <v>0</v>
      </c>
      <c r="J11" s="92">
        <f t="shared" si="2"/>
        <v>0</v>
      </c>
      <c r="K11" s="152"/>
      <c r="L11" s="152"/>
      <c r="M11" s="92"/>
      <c r="N11" s="92"/>
      <c r="O11" s="417" t="str">
        <f>IF(Q11&gt;0,"стр.2.1 &lt; суммы строк (2.2.+2.4+2.6+2.8+2.10+2.12+2.14+2.16+2.18+2.21+2.24) по графе "&amp;P11,"ОК")</f>
        <v>ОК</v>
      </c>
      <c r="P11" s="266" t="str">
        <f>IF(Q11&gt;0,INDEX($F$6:$N$6,1,Q11),CHAR(151))</f>
        <v>—</v>
      </c>
      <c r="Q11" s="416">
        <f>IF(ISERROR(MATCH(FALSE,S11:AA11,0)),0,MATCH(FALSE,S11:AA11,0))</f>
        <v>0</v>
      </c>
      <c r="R11" s="418" t="s">
        <v>787</v>
      </c>
      <c r="S11" s="47" t="b">
        <f>F10&gt;=SUM(F11,F13,F15,F17,F19,F21,F23,F25,F27,F30,F33)</f>
        <v>1</v>
      </c>
      <c r="T11" s="47" t="b">
        <f t="shared" ref="T11:AA11" si="3">G10&gt;=SUM(G11,G13,G15,G17,G19,G21,G23,G25,G27,G30,G33)</f>
        <v>1</v>
      </c>
      <c r="U11" s="47" t="b">
        <f t="shared" si="3"/>
        <v>1</v>
      </c>
      <c r="V11" s="47" t="b">
        <f>I10&gt;=SUM(I11,I13,I15,I17,I19,I21,I23,I25,I27,I30,I33)</f>
        <v>1</v>
      </c>
      <c r="W11" s="47" t="b">
        <f>J10&gt;=SUM(J11,J13,J15,J17,J19,J21,J23,J25,J27,J30,J33)</f>
        <v>1</v>
      </c>
      <c r="X11" s="47" t="b">
        <f t="shared" si="3"/>
        <v>1</v>
      </c>
      <c r="Y11" s="47" t="b">
        <f t="shared" si="3"/>
        <v>1</v>
      </c>
      <c r="Z11" s="47" t="b">
        <f t="shared" si="3"/>
        <v>1</v>
      </c>
      <c r="AA11" s="47" t="b">
        <f t="shared" si="3"/>
        <v>1</v>
      </c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</row>
    <row r="12" spans="1:90" s="5" customFormat="1" ht="16.5" thickBot="1" x14ac:dyDescent="0.3">
      <c r="B12" s="66" t="s">
        <v>182</v>
      </c>
      <c r="C12" s="67" t="s">
        <v>245</v>
      </c>
      <c r="D12" s="865"/>
      <c r="E12" s="92">
        <f t="shared" si="0"/>
        <v>0</v>
      </c>
      <c r="F12" s="152"/>
      <c r="G12" s="152"/>
      <c r="H12" s="92"/>
      <c r="I12" s="92">
        <f t="shared" si="1"/>
        <v>0</v>
      </c>
      <c r="J12" s="92">
        <f t="shared" si="2"/>
        <v>0</v>
      </c>
      <c r="K12" s="152"/>
      <c r="L12" s="152"/>
      <c r="M12" s="92"/>
      <c r="N12" s="92"/>
      <c r="O12" s="417" t="str">
        <f>IF(Q12&gt;0,"стр.2 &lt; стр.2.1 по графе "&amp;P12,"ОК")</f>
        <v>ОК</v>
      </c>
      <c r="P12" s="266" t="str">
        <f>IF(Q12&gt;0,INDEX($F$6:$N$6,1,Q12),CHAR(151))</f>
        <v>—</v>
      </c>
      <c r="Q12" s="416">
        <f>IF(ISERROR(MATCH(FALSE,S12:AA12,0)),0,MATCH(FALSE,S12:AA12,0))</f>
        <v>0</v>
      </c>
      <c r="R12" s="404" t="s">
        <v>788</v>
      </c>
      <c r="S12" s="47" t="b">
        <f>F9&gt;=F10</f>
        <v>1</v>
      </c>
      <c r="T12" s="47" t="b">
        <f t="shared" ref="T12:AA12" si="4">G9&gt;=G10</f>
        <v>1</v>
      </c>
      <c r="U12" s="47" t="b">
        <f t="shared" si="4"/>
        <v>1</v>
      </c>
      <c r="V12" s="47" t="b">
        <f t="shared" si="4"/>
        <v>1</v>
      </c>
      <c r="W12" s="47" t="b">
        <f t="shared" si="4"/>
        <v>1</v>
      </c>
      <c r="X12" s="47" t="b">
        <f t="shared" si="4"/>
        <v>1</v>
      </c>
      <c r="Y12" s="47" t="b">
        <f t="shared" si="4"/>
        <v>1</v>
      </c>
      <c r="Z12" s="47" t="b">
        <f t="shared" si="4"/>
        <v>1</v>
      </c>
      <c r="AA12" s="47" t="b">
        <f t="shared" si="4"/>
        <v>1</v>
      </c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</row>
    <row r="13" spans="1:90" s="5" customFormat="1" ht="16.5" thickBot="1" x14ac:dyDescent="0.3">
      <c r="B13" s="66" t="s">
        <v>183</v>
      </c>
      <c r="C13" s="67" t="s">
        <v>246</v>
      </c>
      <c r="D13" s="847" t="s">
        <v>184</v>
      </c>
      <c r="E13" s="92">
        <f t="shared" si="0"/>
        <v>0</v>
      </c>
      <c r="F13" s="152"/>
      <c r="G13" s="152"/>
      <c r="H13" s="92"/>
      <c r="I13" s="92">
        <f t="shared" si="1"/>
        <v>0</v>
      </c>
      <c r="J13" s="92">
        <f t="shared" si="2"/>
        <v>0</v>
      </c>
      <c r="K13" s="152"/>
      <c r="L13" s="152"/>
      <c r="M13" s="92"/>
      <c r="N13" s="92"/>
      <c r="S13"/>
    </row>
    <row r="14" spans="1:90" s="5" customFormat="1" ht="16.5" thickBot="1" x14ac:dyDescent="0.3">
      <c r="B14" s="66" t="s">
        <v>182</v>
      </c>
      <c r="C14" s="67" t="s">
        <v>247</v>
      </c>
      <c r="D14" s="865"/>
      <c r="E14" s="92">
        <f t="shared" si="0"/>
        <v>0</v>
      </c>
      <c r="F14" s="152"/>
      <c r="G14" s="152"/>
      <c r="H14" s="92"/>
      <c r="I14" s="92">
        <f t="shared" si="1"/>
        <v>0</v>
      </c>
      <c r="J14" s="92">
        <f t="shared" si="2"/>
        <v>0</v>
      </c>
      <c r="K14" s="152"/>
      <c r="L14" s="152"/>
      <c r="M14" s="92"/>
      <c r="N14" s="92"/>
      <c r="S14"/>
    </row>
    <row r="15" spans="1:90" s="5" customFormat="1" ht="16.5" thickBot="1" x14ac:dyDescent="0.3">
      <c r="B15" s="66" t="s">
        <v>185</v>
      </c>
      <c r="C15" s="67" t="s">
        <v>248</v>
      </c>
      <c r="D15" s="847" t="s">
        <v>186</v>
      </c>
      <c r="E15" s="92">
        <f t="shared" si="0"/>
        <v>0</v>
      </c>
      <c r="F15" s="152"/>
      <c r="G15" s="152"/>
      <c r="H15" s="92"/>
      <c r="I15" s="92">
        <f t="shared" si="1"/>
        <v>0</v>
      </c>
      <c r="J15" s="92">
        <f t="shared" si="2"/>
        <v>0</v>
      </c>
      <c r="K15" s="152"/>
      <c r="L15" s="152"/>
      <c r="M15" s="92"/>
      <c r="N15" s="92"/>
      <c r="S15"/>
    </row>
    <row r="16" spans="1:90" s="5" customFormat="1" ht="16.5" thickBot="1" x14ac:dyDescent="0.3">
      <c r="B16" s="66" t="s">
        <v>182</v>
      </c>
      <c r="C16" s="67" t="s">
        <v>249</v>
      </c>
      <c r="D16" s="865"/>
      <c r="E16" s="92">
        <f t="shared" si="0"/>
        <v>0</v>
      </c>
      <c r="F16" s="152"/>
      <c r="G16" s="152"/>
      <c r="H16" s="92"/>
      <c r="I16" s="92">
        <f t="shared" si="1"/>
        <v>0</v>
      </c>
      <c r="J16" s="92">
        <f t="shared" si="2"/>
        <v>0</v>
      </c>
      <c r="K16" s="152"/>
      <c r="L16" s="152"/>
      <c r="M16" s="92"/>
      <c r="N16" s="92"/>
      <c r="S16"/>
    </row>
    <row r="17" spans="2:19" s="5" customFormat="1" ht="16.5" thickBot="1" x14ac:dyDescent="0.3">
      <c r="B17" s="66" t="s">
        <v>187</v>
      </c>
      <c r="C17" s="67" t="s">
        <v>250</v>
      </c>
      <c r="D17" s="847" t="s">
        <v>188</v>
      </c>
      <c r="E17" s="92">
        <f t="shared" si="0"/>
        <v>0</v>
      </c>
      <c r="F17" s="152"/>
      <c r="G17" s="152"/>
      <c r="H17" s="92"/>
      <c r="I17" s="92">
        <f t="shared" si="1"/>
        <v>0</v>
      </c>
      <c r="J17" s="92">
        <f t="shared" si="2"/>
        <v>0</v>
      </c>
      <c r="K17" s="152"/>
      <c r="L17" s="152"/>
      <c r="M17" s="92"/>
      <c r="N17" s="92"/>
      <c r="S17"/>
    </row>
    <row r="18" spans="2:19" s="5" customFormat="1" ht="16.5" thickBot="1" x14ac:dyDescent="0.3">
      <c r="B18" s="66" t="s">
        <v>182</v>
      </c>
      <c r="C18" s="67" t="s">
        <v>251</v>
      </c>
      <c r="D18" s="865"/>
      <c r="E18" s="92">
        <f t="shared" si="0"/>
        <v>0</v>
      </c>
      <c r="F18" s="152"/>
      <c r="G18" s="152"/>
      <c r="H18" s="92"/>
      <c r="I18" s="92">
        <f t="shared" si="1"/>
        <v>0</v>
      </c>
      <c r="J18" s="92">
        <f t="shared" si="2"/>
        <v>0</v>
      </c>
      <c r="K18" s="152"/>
      <c r="L18" s="152"/>
      <c r="M18" s="92"/>
      <c r="N18" s="92"/>
      <c r="S18"/>
    </row>
    <row r="19" spans="2:19" s="5" customFormat="1" ht="16.5" thickBot="1" x14ac:dyDescent="0.3">
      <c r="B19" s="66" t="s">
        <v>189</v>
      </c>
      <c r="C19" s="67" t="s">
        <v>252</v>
      </c>
      <c r="D19" s="847" t="s">
        <v>190</v>
      </c>
      <c r="E19" s="92">
        <f t="shared" si="0"/>
        <v>0</v>
      </c>
      <c r="F19" s="152"/>
      <c r="G19" s="152"/>
      <c r="H19" s="92"/>
      <c r="I19" s="92">
        <f t="shared" si="1"/>
        <v>0</v>
      </c>
      <c r="J19" s="92">
        <f t="shared" si="2"/>
        <v>0</v>
      </c>
      <c r="K19" s="152"/>
      <c r="L19" s="152"/>
      <c r="M19" s="92"/>
      <c r="N19" s="92"/>
      <c r="S19"/>
    </row>
    <row r="20" spans="2:19" s="5" customFormat="1" ht="16.5" thickBot="1" x14ac:dyDescent="0.3">
      <c r="B20" s="66" t="s">
        <v>182</v>
      </c>
      <c r="C20" s="67" t="s">
        <v>253</v>
      </c>
      <c r="D20" s="865"/>
      <c r="E20" s="92">
        <f t="shared" si="0"/>
        <v>0</v>
      </c>
      <c r="F20" s="152"/>
      <c r="G20" s="152"/>
      <c r="H20" s="92"/>
      <c r="I20" s="92">
        <f t="shared" si="1"/>
        <v>0</v>
      </c>
      <c r="J20" s="92">
        <f t="shared" si="2"/>
        <v>0</v>
      </c>
      <c r="K20" s="152"/>
      <c r="L20" s="152"/>
      <c r="M20" s="92"/>
      <c r="N20" s="92"/>
      <c r="S20"/>
    </row>
    <row r="21" spans="2:19" s="5" customFormat="1" ht="48" thickBot="1" x14ac:dyDescent="0.3">
      <c r="B21" s="66" t="s">
        <v>191</v>
      </c>
      <c r="C21" s="67" t="s">
        <v>254</v>
      </c>
      <c r="D21" s="847" t="s">
        <v>192</v>
      </c>
      <c r="E21" s="92">
        <f t="shared" si="0"/>
        <v>0</v>
      </c>
      <c r="F21" s="152"/>
      <c r="G21" s="152"/>
      <c r="H21" s="92"/>
      <c r="I21" s="92">
        <f t="shared" si="1"/>
        <v>0</v>
      </c>
      <c r="J21" s="92">
        <f t="shared" si="2"/>
        <v>0</v>
      </c>
      <c r="K21" s="152"/>
      <c r="L21" s="152"/>
      <c r="M21" s="92"/>
      <c r="N21" s="92"/>
      <c r="S21"/>
    </row>
    <row r="22" spans="2:19" s="5" customFormat="1" ht="16.5" thickBot="1" x14ac:dyDescent="0.3">
      <c r="B22" s="68" t="s">
        <v>182</v>
      </c>
      <c r="C22" s="67" t="s">
        <v>255</v>
      </c>
      <c r="D22" s="865"/>
      <c r="E22" s="92">
        <f t="shared" si="0"/>
        <v>0</v>
      </c>
      <c r="F22" s="153"/>
      <c r="G22" s="153"/>
      <c r="H22" s="92"/>
      <c r="I22" s="92">
        <f t="shared" si="1"/>
        <v>0</v>
      </c>
      <c r="J22" s="92">
        <f t="shared" si="2"/>
        <v>0</v>
      </c>
      <c r="K22" s="153"/>
      <c r="L22" s="153"/>
      <c r="M22" s="92"/>
      <c r="N22" s="92"/>
      <c r="S22"/>
    </row>
    <row r="23" spans="2:19" s="5" customFormat="1" ht="16.5" thickBot="1" x14ac:dyDescent="0.3">
      <c r="B23" s="69" t="s">
        <v>193</v>
      </c>
      <c r="C23" s="67" t="s">
        <v>256</v>
      </c>
      <c r="D23" s="70" t="s">
        <v>194</v>
      </c>
      <c r="E23" s="92">
        <f t="shared" si="0"/>
        <v>0</v>
      </c>
      <c r="F23" s="154"/>
      <c r="G23" s="154"/>
      <c r="H23" s="92"/>
      <c r="I23" s="92">
        <f t="shared" si="1"/>
        <v>0</v>
      </c>
      <c r="J23" s="92">
        <f t="shared" si="2"/>
        <v>0</v>
      </c>
      <c r="K23" s="154"/>
      <c r="L23" s="154"/>
      <c r="M23" s="92"/>
      <c r="N23" s="92"/>
      <c r="S23"/>
    </row>
    <row r="24" spans="2:19" s="5" customFormat="1" ht="16.5" thickBot="1" x14ac:dyDescent="0.3">
      <c r="B24" s="66" t="s">
        <v>182</v>
      </c>
      <c r="C24" s="67" t="s">
        <v>257</v>
      </c>
      <c r="D24" s="71" t="s">
        <v>195</v>
      </c>
      <c r="E24" s="92">
        <f t="shared" si="0"/>
        <v>0</v>
      </c>
      <c r="F24" s="152"/>
      <c r="G24" s="152"/>
      <c r="H24" s="92"/>
      <c r="I24" s="92">
        <f t="shared" si="1"/>
        <v>0</v>
      </c>
      <c r="J24" s="92">
        <f t="shared" si="2"/>
        <v>0</v>
      </c>
      <c r="K24" s="152"/>
      <c r="L24" s="152"/>
      <c r="M24" s="92"/>
      <c r="N24" s="92"/>
      <c r="S24"/>
    </row>
    <row r="25" spans="2:19" s="5" customFormat="1" ht="16.5" thickBot="1" x14ac:dyDescent="0.3">
      <c r="B25" s="66" t="s">
        <v>196</v>
      </c>
      <c r="C25" s="67" t="s">
        <v>258</v>
      </c>
      <c r="D25" s="70" t="s">
        <v>197</v>
      </c>
      <c r="E25" s="92">
        <f t="shared" si="0"/>
        <v>0</v>
      </c>
      <c r="F25" s="152"/>
      <c r="G25" s="152"/>
      <c r="H25" s="92"/>
      <c r="I25" s="92">
        <f t="shared" si="1"/>
        <v>0</v>
      </c>
      <c r="J25" s="92">
        <f t="shared" si="2"/>
        <v>0</v>
      </c>
      <c r="K25" s="152"/>
      <c r="L25" s="152"/>
      <c r="M25" s="92"/>
      <c r="N25" s="92"/>
      <c r="S25"/>
    </row>
    <row r="26" spans="2:19" s="5" customFormat="1" ht="16.5" thickBot="1" x14ac:dyDescent="0.3">
      <c r="B26" s="66" t="s">
        <v>182</v>
      </c>
      <c r="C26" s="67" t="s">
        <v>259</v>
      </c>
      <c r="D26" s="71" t="s">
        <v>198</v>
      </c>
      <c r="E26" s="92">
        <f t="shared" si="0"/>
        <v>0</v>
      </c>
      <c r="F26" s="152"/>
      <c r="G26" s="152"/>
      <c r="H26" s="92"/>
      <c r="I26" s="92">
        <f t="shared" si="1"/>
        <v>0</v>
      </c>
      <c r="J26" s="92">
        <f t="shared" si="2"/>
        <v>0</v>
      </c>
      <c r="K26" s="152"/>
      <c r="L26" s="152"/>
      <c r="M26" s="92"/>
      <c r="N26" s="92"/>
      <c r="S26"/>
    </row>
    <row r="27" spans="2:19" s="5" customFormat="1" ht="16.5" thickBot="1" x14ac:dyDescent="0.3">
      <c r="B27" s="66" t="s">
        <v>199</v>
      </c>
      <c r="C27" s="67" t="s">
        <v>260</v>
      </c>
      <c r="D27" s="847" t="s">
        <v>200</v>
      </c>
      <c r="E27" s="92">
        <f t="shared" si="0"/>
        <v>2</v>
      </c>
      <c r="F27" s="152">
        <v>2</v>
      </c>
      <c r="G27" s="152">
        <v>2</v>
      </c>
      <c r="H27" s="92"/>
      <c r="I27" s="92">
        <f t="shared" si="1"/>
        <v>0</v>
      </c>
      <c r="J27" s="92">
        <f t="shared" si="2"/>
        <v>0</v>
      </c>
      <c r="K27" s="152"/>
      <c r="L27" s="152"/>
      <c r="M27" s="92"/>
      <c r="N27" s="92"/>
      <c r="S27"/>
    </row>
    <row r="28" spans="2:19" s="5" customFormat="1" ht="16.5" thickBot="1" x14ac:dyDescent="0.3">
      <c r="B28" s="66" t="s">
        <v>201</v>
      </c>
      <c r="C28" s="67" t="s">
        <v>261</v>
      </c>
      <c r="D28" s="848"/>
      <c r="E28" s="92">
        <f t="shared" si="0"/>
        <v>1</v>
      </c>
      <c r="F28" s="152">
        <v>1</v>
      </c>
      <c r="G28" s="152">
        <v>1</v>
      </c>
      <c r="H28" s="92"/>
      <c r="I28" s="92">
        <f t="shared" si="1"/>
        <v>0</v>
      </c>
      <c r="J28" s="92">
        <f t="shared" si="2"/>
        <v>0</v>
      </c>
      <c r="K28" s="152"/>
      <c r="L28" s="152"/>
      <c r="M28" s="92"/>
      <c r="N28" s="92"/>
      <c r="S28"/>
    </row>
    <row r="29" spans="2:19" s="5" customFormat="1" ht="16.5" thickBot="1" x14ac:dyDescent="0.3">
      <c r="B29" s="66" t="s">
        <v>202</v>
      </c>
      <c r="C29" s="67" t="s">
        <v>262</v>
      </c>
      <c r="D29" s="865"/>
      <c r="E29" s="92">
        <f t="shared" si="0"/>
        <v>1</v>
      </c>
      <c r="F29" s="152">
        <v>1</v>
      </c>
      <c r="G29" s="152">
        <v>1</v>
      </c>
      <c r="H29" s="92"/>
      <c r="I29" s="92">
        <f t="shared" si="1"/>
        <v>0</v>
      </c>
      <c r="J29" s="92">
        <f t="shared" si="2"/>
        <v>0</v>
      </c>
      <c r="K29" s="152"/>
      <c r="L29" s="152"/>
      <c r="M29" s="92"/>
      <c r="N29" s="92"/>
      <c r="S29"/>
    </row>
    <row r="30" spans="2:19" s="5" customFormat="1" ht="16.5" thickBot="1" x14ac:dyDescent="0.3">
      <c r="B30" s="66" t="s">
        <v>203</v>
      </c>
      <c r="C30" s="67" t="s">
        <v>263</v>
      </c>
      <c r="D30" s="847" t="s">
        <v>204</v>
      </c>
      <c r="E30" s="92">
        <f t="shared" si="0"/>
        <v>0</v>
      </c>
      <c r="F30" s="152"/>
      <c r="G30" s="152"/>
      <c r="H30" s="92"/>
      <c r="I30" s="92">
        <f t="shared" si="1"/>
        <v>0</v>
      </c>
      <c r="J30" s="92">
        <f t="shared" si="2"/>
        <v>0</v>
      </c>
      <c r="K30" s="152"/>
      <c r="L30" s="152"/>
      <c r="M30" s="92"/>
      <c r="N30" s="92"/>
      <c r="S30"/>
    </row>
    <row r="31" spans="2:19" s="5" customFormat="1" ht="16.5" thickBot="1" x14ac:dyDescent="0.3">
      <c r="B31" s="66" t="s">
        <v>201</v>
      </c>
      <c r="C31" s="67" t="s">
        <v>264</v>
      </c>
      <c r="D31" s="848"/>
      <c r="E31" s="92">
        <f t="shared" si="0"/>
        <v>0</v>
      </c>
      <c r="F31" s="152"/>
      <c r="G31" s="152"/>
      <c r="H31" s="92"/>
      <c r="I31" s="92">
        <f t="shared" si="1"/>
        <v>0</v>
      </c>
      <c r="J31" s="92">
        <f t="shared" si="2"/>
        <v>0</v>
      </c>
      <c r="K31" s="152"/>
      <c r="L31" s="152"/>
      <c r="M31" s="92"/>
      <c r="N31" s="92"/>
      <c r="S31"/>
    </row>
    <row r="32" spans="2:19" s="5" customFormat="1" ht="16.5" thickBot="1" x14ac:dyDescent="0.3">
      <c r="B32" s="66" t="s">
        <v>202</v>
      </c>
      <c r="C32" s="67" t="s">
        <v>265</v>
      </c>
      <c r="D32" s="865"/>
      <c r="E32" s="92">
        <f t="shared" si="0"/>
        <v>0</v>
      </c>
      <c r="F32" s="152"/>
      <c r="G32" s="152"/>
      <c r="H32" s="92"/>
      <c r="I32" s="92">
        <f t="shared" si="1"/>
        <v>0</v>
      </c>
      <c r="J32" s="92">
        <f t="shared" si="2"/>
        <v>0</v>
      </c>
      <c r="K32" s="152"/>
      <c r="L32" s="152"/>
      <c r="M32" s="92"/>
      <c r="N32" s="92"/>
      <c r="S32"/>
    </row>
    <row r="33" spans="2:27" s="5" customFormat="1" ht="16.5" thickBot="1" x14ac:dyDescent="0.3">
      <c r="B33" s="66" t="s">
        <v>205</v>
      </c>
      <c r="C33" s="67" t="s">
        <v>266</v>
      </c>
      <c r="D33" s="847" t="s">
        <v>206</v>
      </c>
      <c r="E33" s="92">
        <f t="shared" si="0"/>
        <v>0</v>
      </c>
      <c r="F33" s="152"/>
      <c r="G33" s="152"/>
      <c r="H33" s="92"/>
      <c r="I33" s="92">
        <f t="shared" si="1"/>
        <v>0</v>
      </c>
      <c r="J33" s="92">
        <f t="shared" si="2"/>
        <v>0</v>
      </c>
      <c r="K33" s="152"/>
      <c r="L33" s="152"/>
      <c r="M33" s="92"/>
      <c r="N33" s="92"/>
      <c r="S33"/>
    </row>
    <row r="34" spans="2:27" s="5" customFormat="1" ht="16.5" thickBot="1" x14ac:dyDescent="0.3">
      <c r="B34" s="68" t="s">
        <v>182</v>
      </c>
      <c r="C34" s="67" t="s">
        <v>470</v>
      </c>
      <c r="D34" s="865"/>
      <c r="E34" s="92">
        <f t="shared" si="0"/>
        <v>0</v>
      </c>
      <c r="F34" s="153"/>
      <c r="G34" s="153"/>
      <c r="H34" s="92"/>
      <c r="I34" s="92">
        <f t="shared" si="1"/>
        <v>0</v>
      </c>
      <c r="J34" s="92">
        <f t="shared" si="2"/>
        <v>0</v>
      </c>
      <c r="K34" s="153"/>
      <c r="L34" s="153"/>
      <c r="M34" s="92"/>
      <c r="N34" s="92"/>
      <c r="S34"/>
    </row>
    <row r="35" spans="2:27" ht="48" thickBot="1" x14ac:dyDescent="0.3">
      <c r="B35" s="72" t="s">
        <v>339</v>
      </c>
      <c r="C35" s="67" t="s">
        <v>340</v>
      </c>
      <c r="D35" s="73" t="s">
        <v>341</v>
      </c>
      <c r="E35" s="92">
        <f t="shared" si="0"/>
        <v>2</v>
      </c>
      <c r="F35" s="152">
        <v>2</v>
      </c>
      <c r="G35" s="152">
        <v>2</v>
      </c>
      <c r="H35" s="92"/>
      <c r="I35" s="92">
        <f t="shared" si="1"/>
        <v>0</v>
      </c>
      <c r="J35" s="92">
        <f t="shared" si="2"/>
        <v>0</v>
      </c>
      <c r="K35" s="152"/>
      <c r="L35" s="152"/>
      <c r="M35" s="92"/>
      <c r="N35" s="92"/>
      <c r="O35" s="417" t="str">
        <f>IF(Q35&gt;0,"стр.3 &lt; стр.3.1 по графе "&amp;P35,"ОК")</f>
        <v>ОК</v>
      </c>
      <c r="P35" s="266" t="str">
        <f>IF(Q35&gt;0,INDEX($F$6:$N$6,1,Q35),CHAR(151))</f>
        <v>—</v>
      </c>
      <c r="Q35" s="416">
        <f>IF(ISERROR(MATCH(FALSE,S35:AA35,0)),0,MATCH(FALSE,S35:AA35,0))</f>
        <v>0</v>
      </c>
      <c r="R35" s="419" t="s">
        <v>792</v>
      </c>
      <c r="S35" s="47" t="b">
        <f>F35&gt;=F36</f>
        <v>1</v>
      </c>
      <c r="T35" s="47" t="b">
        <f t="shared" ref="T35:AA35" si="5">G35&gt;=G36</f>
        <v>1</v>
      </c>
      <c r="U35" s="47" t="b">
        <f t="shared" si="5"/>
        <v>1</v>
      </c>
      <c r="V35" s="47" t="b">
        <f t="shared" si="5"/>
        <v>1</v>
      </c>
      <c r="W35" s="47" t="b">
        <f t="shared" si="5"/>
        <v>1</v>
      </c>
      <c r="X35" s="47" t="b">
        <f t="shared" si="5"/>
        <v>1</v>
      </c>
      <c r="Y35" s="47" t="b">
        <f t="shared" si="5"/>
        <v>1</v>
      </c>
      <c r="Z35" s="47" t="b">
        <f t="shared" si="5"/>
        <v>1</v>
      </c>
      <c r="AA35" s="47" t="b">
        <f t="shared" si="5"/>
        <v>1</v>
      </c>
    </row>
    <row r="36" spans="2:27" ht="48" thickBot="1" x14ac:dyDescent="0.3">
      <c r="B36" s="58" t="s">
        <v>342</v>
      </c>
      <c r="C36" s="67" t="s">
        <v>267</v>
      </c>
      <c r="D36" s="74" t="s">
        <v>343</v>
      </c>
      <c r="E36" s="92">
        <f t="shared" si="0"/>
        <v>2</v>
      </c>
      <c r="F36" s="151">
        <v>2</v>
      </c>
      <c r="G36" s="151">
        <v>2</v>
      </c>
      <c r="H36" s="92"/>
      <c r="I36" s="92">
        <f t="shared" si="1"/>
        <v>0</v>
      </c>
      <c r="J36" s="92">
        <f t="shared" si="2"/>
        <v>0</v>
      </c>
      <c r="K36" s="151"/>
      <c r="L36" s="151"/>
      <c r="M36" s="92"/>
      <c r="N36" s="92"/>
    </row>
    <row r="37" spans="2:27" ht="48" thickBot="1" x14ac:dyDescent="0.3">
      <c r="B37" s="61" t="s">
        <v>344</v>
      </c>
      <c r="C37" s="67" t="s">
        <v>345</v>
      </c>
      <c r="D37" s="73" t="s">
        <v>346</v>
      </c>
      <c r="E37" s="92">
        <f t="shared" si="0"/>
        <v>74</v>
      </c>
      <c r="F37" s="152">
        <v>30</v>
      </c>
      <c r="G37" s="152">
        <v>74</v>
      </c>
      <c r="H37" s="92"/>
      <c r="I37" s="92">
        <f t="shared" si="1"/>
        <v>1</v>
      </c>
      <c r="J37" s="92">
        <f t="shared" si="2"/>
        <v>1</v>
      </c>
      <c r="K37" s="152">
        <v>1</v>
      </c>
      <c r="L37" s="152">
        <v>1</v>
      </c>
      <c r="M37" s="92"/>
      <c r="N37" s="92"/>
      <c r="O37" s="417" t="str">
        <f>IF(Q37&gt;0,"стр.4 &lt; суммы строк(4.1+4.3+4.4) по графе "&amp;P37,"ОК")</f>
        <v>ОК</v>
      </c>
      <c r="P37" s="266" t="str">
        <f>IF(Q37&gt;0,INDEX($F$6:$N$6,1,Q37),CHAR(151))</f>
        <v>—</v>
      </c>
      <c r="Q37" s="416">
        <f>IF(ISERROR(MATCH(FALSE,S37:AA37,0)),0,MATCH(FALSE,S37:AA37,0))</f>
        <v>0</v>
      </c>
      <c r="R37" s="419" t="s">
        <v>793</v>
      </c>
      <c r="S37" s="47" t="b">
        <f>F37&gt;=SUM(F38,F40:F41)</f>
        <v>1</v>
      </c>
      <c r="T37" s="47" t="b">
        <f t="shared" ref="T37:AA37" si="6">G37&gt;=SUM(G38,G40:G41)</f>
        <v>1</v>
      </c>
      <c r="U37" s="47" t="b">
        <f t="shared" si="6"/>
        <v>1</v>
      </c>
      <c r="V37" s="47" t="b">
        <f t="shared" si="6"/>
        <v>1</v>
      </c>
      <c r="W37" s="47" t="b">
        <f t="shared" si="6"/>
        <v>1</v>
      </c>
      <c r="X37" s="47" t="b">
        <f t="shared" si="6"/>
        <v>1</v>
      </c>
      <c r="Y37" s="47" t="b">
        <f t="shared" si="6"/>
        <v>1</v>
      </c>
      <c r="Z37" s="47" t="b">
        <f t="shared" si="6"/>
        <v>1</v>
      </c>
      <c r="AA37" s="47" t="b">
        <f t="shared" si="6"/>
        <v>1</v>
      </c>
    </row>
    <row r="38" spans="2:27" s="5" customFormat="1" ht="16.5" thickBot="1" x14ac:dyDescent="0.3">
      <c r="B38" s="66" t="s">
        <v>207</v>
      </c>
      <c r="C38" s="67" t="s">
        <v>471</v>
      </c>
      <c r="D38" s="70" t="s">
        <v>208</v>
      </c>
      <c r="E38" s="92">
        <f t="shared" si="0"/>
        <v>7</v>
      </c>
      <c r="F38" s="152">
        <v>7</v>
      </c>
      <c r="G38" s="152">
        <v>7</v>
      </c>
      <c r="H38" s="92"/>
      <c r="I38" s="92">
        <f t="shared" si="1"/>
        <v>1</v>
      </c>
      <c r="J38" s="92">
        <f t="shared" si="2"/>
        <v>1</v>
      </c>
      <c r="K38" s="92">
        <f>'профосмотры 124н'!$P$8</f>
        <v>1</v>
      </c>
      <c r="L38" s="92">
        <f>'профосмотры 124н'!$P$16</f>
        <v>1</v>
      </c>
      <c r="M38" s="92"/>
      <c r="N38" s="92"/>
      <c r="S38"/>
    </row>
    <row r="39" spans="2:27" s="5" customFormat="1" ht="32.25" thickBot="1" x14ac:dyDescent="0.3">
      <c r="B39" s="66" t="s">
        <v>209</v>
      </c>
      <c r="C39" s="67" t="s">
        <v>348</v>
      </c>
      <c r="D39" s="39" t="s">
        <v>210</v>
      </c>
      <c r="E39" s="92">
        <f t="shared" si="0"/>
        <v>7</v>
      </c>
      <c r="F39" s="152">
        <v>7</v>
      </c>
      <c r="G39" s="152">
        <v>7</v>
      </c>
      <c r="H39" s="92"/>
      <c r="I39" s="92">
        <f t="shared" si="1"/>
        <v>1</v>
      </c>
      <c r="J39" s="92">
        <f t="shared" si="2"/>
        <v>1</v>
      </c>
      <c r="K39" s="151">
        <v>1</v>
      </c>
      <c r="L39" s="151">
        <v>1</v>
      </c>
      <c r="M39" s="92"/>
      <c r="N39" s="92"/>
      <c r="S39"/>
    </row>
    <row r="40" spans="2:27" ht="16.5" thickBot="1" x14ac:dyDescent="0.3">
      <c r="B40" s="75" t="s">
        <v>347</v>
      </c>
      <c r="C40" s="67" t="s">
        <v>351</v>
      </c>
      <c r="D40" s="76" t="s">
        <v>349</v>
      </c>
      <c r="E40" s="92">
        <f t="shared" si="0"/>
        <v>64</v>
      </c>
      <c r="F40" s="151"/>
      <c r="G40" s="151">
        <v>64</v>
      </c>
      <c r="H40" s="92"/>
      <c r="I40" s="92">
        <f t="shared" si="1"/>
        <v>0</v>
      </c>
      <c r="J40" s="92">
        <f t="shared" si="2"/>
        <v>0</v>
      </c>
      <c r="K40" s="151"/>
      <c r="L40" s="151"/>
      <c r="M40" s="92"/>
      <c r="N40" s="92"/>
    </row>
    <row r="41" spans="2:27" ht="32.25" thickBot="1" x14ac:dyDescent="0.3">
      <c r="B41" s="58" t="s">
        <v>350</v>
      </c>
      <c r="C41" s="67" t="s">
        <v>472</v>
      </c>
      <c r="D41" s="74" t="s">
        <v>129</v>
      </c>
      <c r="E41" s="92">
        <f t="shared" si="0"/>
        <v>0</v>
      </c>
      <c r="F41" s="151"/>
      <c r="G41" s="151"/>
      <c r="H41" s="92"/>
      <c r="I41" s="92">
        <f t="shared" si="1"/>
        <v>0</v>
      </c>
      <c r="J41" s="92">
        <f t="shared" si="2"/>
        <v>0</v>
      </c>
      <c r="K41" s="151"/>
      <c r="L41" s="151"/>
      <c r="M41" s="92"/>
      <c r="N41" s="92"/>
    </row>
    <row r="42" spans="2:27" ht="30.75" thickBot="1" x14ac:dyDescent="0.3">
      <c r="B42" s="61" t="s">
        <v>352</v>
      </c>
      <c r="C42" s="67" t="s">
        <v>353</v>
      </c>
      <c r="D42" s="73" t="s">
        <v>354</v>
      </c>
      <c r="E42" s="92">
        <f t="shared" si="0"/>
        <v>59</v>
      </c>
      <c r="F42" s="152">
        <v>8</v>
      </c>
      <c r="G42" s="152">
        <v>59</v>
      </c>
      <c r="H42" s="92"/>
      <c r="I42" s="92">
        <f t="shared" si="1"/>
        <v>0</v>
      </c>
      <c r="J42" s="92">
        <f t="shared" si="2"/>
        <v>0</v>
      </c>
      <c r="K42" s="152"/>
      <c r="L42" s="152"/>
      <c r="M42" s="92"/>
      <c r="N42" s="92"/>
      <c r="O42" s="417" t="str">
        <f>IF(Q42&gt;0,"стр.5 &lt; стр.5.1 по графе "&amp;P42,"ОК")</f>
        <v>ОК</v>
      </c>
      <c r="P42" s="266" t="str">
        <f>IF(Q42&gt;0,INDEX($F$6:$N$6,1,Q42),CHAR(151))</f>
        <v>—</v>
      </c>
      <c r="Q42" s="416">
        <f>IF(ISERROR(MATCH(FALSE,S42:AA42,0)),0,MATCH(FALSE,S42:AA42,0))</f>
        <v>0</v>
      </c>
      <c r="R42" s="419" t="s">
        <v>794</v>
      </c>
      <c r="S42" s="47" t="b">
        <f>F42&gt;=F43</f>
        <v>1</v>
      </c>
      <c r="T42" s="47" t="b">
        <f t="shared" ref="T42:AA42" si="7">G42&gt;=G43</f>
        <v>1</v>
      </c>
      <c r="U42" s="47" t="b">
        <f t="shared" si="7"/>
        <v>1</v>
      </c>
      <c r="V42" s="47" t="b">
        <f t="shared" si="7"/>
        <v>1</v>
      </c>
      <c r="W42" s="47" t="b">
        <f t="shared" si="7"/>
        <v>1</v>
      </c>
      <c r="X42" s="47" t="b">
        <f t="shared" si="7"/>
        <v>1</v>
      </c>
      <c r="Y42" s="47" t="b">
        <f t="shared" si="7"/>
        <v>1</v>
      </c>
      <c r="Z42" s="47" t="b">
        <f t="shared" si="7"/>
        <v>1</v>
      </c>
      <c r="AA42" s="47" t="b">
        <f t="shared" si="7"/>
        <v>1</v>
      </c>
    </row>
    <row r="43" spans="2:27" s="5" customFormat="1" ht="48" thickBot="1" x14ac:dyDescent="0.3">
      <c r="B43" s="66" t="s">
        <v>211</v>
      </c>
      <c r="C43" s="67" t="s">
        <v>473</v>
      </c>
      <c r="D43" s="39" t="s">
        <v>212</v>
      </c>
      <c r="E43" s="92">
        <f t="shared" si="0"/>
        <v>0</v>
      </c>
      <c r="F43" s="152"/>
      <c r="G43" s="152"/>
      <c r="H43" s="92"/>
      <c r="I43" s="92">
        <f t="shared" si="1"/>
        <v>0</v>
      </c>
      <c r="J43" s="92">
        <f t="shared" si="2"/>
        <v>0</v>
      </c>
      <c r="K43" s="152"/>
      <c r="L43" s="152"/>
      <c r="M43" s="92"/>
      <c r="N43" s="92"/>
      <c r="S43"/>
    </row>
    <row r="44" spans="2:27" ht="45.75" thickBot="1" x14ac:dyDescent="0.3">
      <c r="B44" s="61" t="s">
        <v>355</v>
      </c>
      <c r="C44" s="67" t="s">
        <v>356</v>
      </c>
      <c r="D44" s="73" t="s">
        <v>357</v>
      </c>
      <c r="E44" s="92">
        <f t="shared" si="0"/>
        <v>0</v>
      </c>
      <c r="F44" s="151"/>
      <c r="G44" s="151"/>
      <c r="H44" s="92"/>
      <c r="I44" s="92">
        <f t="shared" si="1"/>
        <v>0</v>
      </c>
      <c r="J44" s="92">
        <f t="shared" si="2"/>
        <v>0</v>
      </c>
      <c r="K44" s="151"/>
      <c r="L44" s="151"/>
      <c r="M44" s="92"/>
      <c r="N44" s="92"/>
      <c r="O44" s="417" t="str">
        <f>IF(Q44&gt;0,"стр.6 &lt; суммы строк(6.1+6.2+6.3) по графе "&amp;P44,"ОК")</f>
        <v>ОК</v>
      </c>
      <c r="P44" s="266" t="str">
        <f>IF(Q44&gt;0,INDEX($F$6:$N$6,1,Q44),CHAR(151))</f>
        <v>—</v>
      </c>
      <c r="Q44" s="416">
        <f>IF(ISERROR(MATCH(FALSE,S44:AA44,0)),0,MATCH(FALSE,S44:AA44,0))</f>
        <v>0</v>
      </c>
      <c r="R44" s="419" t="s">
        <v>795</v>
      </c>
      <c r="S44" s="47" t="b">
        <f t="shared" ref="S44:AA44" si="8">F44&gt;=SUM(F45:F47)</f>
        <v>1</v>
      </c>
      <c r="T44" s="47" t="b">
        <f t="shared" si="8"/>
        <v>1</v>
      </c>
      <c r="U44" s="47" t="b">
        <f t="shared" si="8"/>
        <v>1</v>
      </c>
      <c r="V44" s="47" t="b">
        <f t="shared" si="8"/>
        <v>1</v>
      </c>
      <c r="W44" s="47" t="b">
        <f t="shared" si="8"/>
        <v>1</v>
      </c>
      <c r="X44" s="47" t="b">
        <f t="shared" si="8"/>
        <v>1</v>
      </c>
      <c r="Y44" s="47" t="b">
        <f t="shared" si="8"/>
        <v>1</v>
      </c>
      <c r="Z44" s="47" t="b">
        <f t="shared" si="8"/>
        <v>1</v>
      </c>
      <c r="AA44" s="47" t="b">
        <f t="shared" si="8"/>
        <v>1</v>
      </c>
    </row>
    <row r="45" spans="2:27" s="5" customFormat="1" ht="16.5" thickBot="1" x14ac:dyDescent="0.3">
      <c r="B45" s="66" t="s">
        <v>213</v>
      </c>
      <c r="C45" s="67" t="s">
        <v>293</v>
      </c>
      <c r="D45" s="39" t="s">
        <v>275</v>
      </c>
      <c r="E45" s="92">
        <f t="shared" si="0"/>
        <v>0</v>
      </c>
      <c r="F45" s="155"/>
      <c r="G45" s="155"/>
      <c r="H45" s="92"/>
      <c r="I45" s="92">
        <f t="shared" si="1"/>
        <v>0</v>
      </c>
      <c r="J45" s="92">
        <f t="shared" si="2"/>
        <v>0</v>
      </c>
      <c r="K45" s="155"/>
      <c r="L45" s="155"/>
      <c r="M45" s="92"/>
      <c r="N45" s="92"/>
      <c r="S45"/>
    </row>
    <row r="46" spans="2:27" s="5" customFormat="1" ht="16.5" thickBot="1" x14ac:dyDescent="0.3">
      <c r="B46" s="66" t="s">
        <v>214</v>
      </c>
      <c r="C46" s="67" t="s">
        <v>294</v>
      </c>
      <c r="D46" s="39" t="s">
        <v>215</v>
      </c>
      <c r="E46" s="92">
        <f t="shared" si="0"/>
        <v>0</v>
      </c>
      <c r="F46" s="152"/>
      <c r="G46" s="152"/>
      <c r="H46" s="92"/>
      <c r="I46" s="92">
        <f t="shared" si="1"/>
        <v>0</v>
      </c>
      <c r="J46" s="92">
        <f t="shared" si="2"/>
        <v>0</v>
      </c>
      <c r="K46" s="92">
        <f>'профосмотры 124н'!$R$8</f>
        <v>0</v>
      </c>
      <c r="L46" s="92">
        <f>'профосмотры 124н'!$R$16</f>
        <v>0</v>
      </c>
      <c r="M46" s="92"/>
      <c r="N46" s="92"/>
      <c r="S46"/>
    </row>
    <row r="47" spans="2:27" s="5" customFormat="1" ht="16.5" thickBot="1" x14ac:dyDescent="0.3">
      <c r="B47" s="66" t="s">
        <v>216</v>
      </c>
      <c r="C47" s="67" t="s">
        <v>295</v>
      </c>
      <c r="D47" s="39" t="s">
        <v>217</v>
      </c>
      <c r="E47" s="92">
        <f t="shared" si="0"/>
        <v>0</v>
      </c>
      <c r="F47" s="152"/>
      <c r="G47" s="152"/>
      <c r="H47" s="92"/>
      <c r="I47" s="92">
        <f t="shared" si="1"/>
        <v>0</v>
      </c>
      <c r="J47" s="92">
        <f t="shared" si="2"/>
        <v>0</v>
      </c>
      <c r="K47" s="152"/>
      <c r="L47" s="152"/>
      <c r="M47" s="92"/>
      <c r="N47" s="92"/>
      <c r="S47"/>
    </row>
    <row r="48" spans="2:27" ht="45.75" thickBot="1" x14ac:dyDescent="0.3">
      <c r="B48" s="61" t="s">
        <v>358</v>
      </c>
      <c r="C48" s="67" t="s">
        <v>359</v>
      </c>
      <c r="D48" s="63" t="s">
        <v>360</v>
      </c>
      <c r="E48" s="92">
        <f t="shared" si="0"/>
        <v>113</v>
      </c>
      <c r="F48" s="151">
        <v>113</v>
      </c>
      <c r="G48" s="151">
        <v>113</v>
      </c>
      <c r="H48" s="92"/>
      <c r="I48" s="92">
        <f t="shared" si="1"/>
        <v>2</v>
      </c>
      <c r="J48" s="92">
        <f t="shared" si="2"/>
        <v>2</v>
      </c>
      <c r="K48" s="92">
        <f>'профосмотры 124н'!$M$8</f>
        <v>2</v>
      </c>
      <c r="L48" s="92">
        <f>'профосмотры 124н'!$M$16</f>
        <v>2</v>
      </c>
      <c r="M48" s="92"/>
      <c r="N48" s="92"/>
      <c r="O48" s="417" t="str">
        <f>IF(Q48&gt;0,"стр.7 &lt; суммы строк(7.1+7.2+7.4+7.6) по графе "&amp;P48,"ОК")</f>
        <v>ОК</v>
      </c>
      <c r="P48" s="266" t="str">
        <f>IF(Q48&gt;0,INDEX($F$6:$N$6,1,Q48),CHAR(151))</f>
        <v>—</v>
      </c>
      <c r="Q48" s="416">
        <f>IF(ISERROR(MATCH(FALSE,S48:AA48,0)),0,MATCH(FALSE,S48:AA48,0))</f>
        <v>0</v>
      </c>
      <c r="R48" s="419" t="s">
        <v>796</v>
      </c>
      <c r="S48" s="47" t="b">
        <f>F48&gt;=SUM(F49:F50,F55,F59)</f>
        <v>1</v>
      </c>
      <c r="T48" s="47" t="b">
        <f t="shared" ref="T48:AA48" si="9">G48&gt;=SUM(G49:G50,G55,G59)</f>
        <v>1</v>
      </c>
      <c r="U48" s="47" t="b">
        <f t="shared" si="9"/>
        <v>1</v>
      </c>
      <c r="V48" s="47" t="b">
        <f t="shared" si="9"/>
        <v>1</v>
      </c>
      <c r="W48" s="47" t="b">
        <f t="shared" si="9"/>
        <v>1</v>
      </c>
      <c r="X48" s="47" t="b">
        <f t="shared" si="9"/>
        <v>1</v>
      </c>
      <c r="Y48" s="47" t="b">
        <f t="shared" si="9"/>
        <v>1</v>
      </c>
      <c r="Z48" s="47" t="b">
        <f t="shared" si="9"/>
        <v>1</v>
      </c>
      <c r="AA48" s="47" t="b">
        <f t="shared" si="9"/>
        <v>1</v>
      </c>
    </row>
    <row r="49" spans="2:27" s="5" customFormat="1" ht="32.25" thickBot="1" x14ac:dyDescent="0.3">
      <c r="B49" s="66" t="s">
        <v>222</v>
      </c>
      <c r="C49" s="67" t="s">
        <v>474</v>
      </c>
      <c r="D49" s="39" t="s">
        <v>223</v>
      </c>
      <c r="E49" s="92">
        <f t="shared" si="0"/>
        <v>57</v>
      </c>
      <c r="F49" s="152">
        <v>57</v>
      </c>
      <c r="G49" s="152">
        <v>57</v>
      </c>
      <c r="H49" s="92"/>
      <c r="I49" s="92">
        <f t="shared" si="1"/>
        <v>2</v>
      </c>
      <c r="J49" s="92">
        <f t="shared" si="2"/>
        <v>2</v>
      </c>
      <c r="K49" s="152">
        <v>2</v>
      </c>
      <c r="L49" s="152">
        <v>2</v>
      </c>
      <c r="M49" s="92"/>
      <c r="N49" s="92"/>
      <c r="S49"/>
    </row>
    <row r="50" spans="2:27" s="5" customFormat="1" ht="16.5" thickBot="1" x14ac:dyDescent="0.3">
      <c r="B50" s="66" t="s">
        <v>224</v>
      </c>
      <c r="C50" s="67" t="s">
        <v>475</v>
      </c>
      <c r="D50" s="39" t="s">
        <v>225</v>
      </c>
      <c r="E50" s="92">
        <f t="shared" si="0"/>
        <v>14</v>
      </c>
      <c r="F50" s="152">
        <v>14</v>
      </c>
      <c r="G50" s="152">
        <v>14</v>
      </c>
      <c r="H50" s="92"/>
      <c r="I50" s="92">
        <f t="shared" si="1"/>
        <v>0</v>
      </c>
      <c r="J50" s="92">
        <f t="shared" si="2"/>
        <v>0</v>
      </c>
      <c r="K50" s="152"/>
      <c r="L50" s="152"/>
      <c r="M50" s="92"/>
      <c r="N50" s="92"/>
      <c r="S50"/>
    </row>
    <row r="51" spans="2:27" ht="16.5" thickBot="1" x14ac:dyDescent="0.3">
      <c r="B51" s="75" t="s">
        <v>361</v>
      </c>
      <c r="C51" s="67" t="s">
        <v>362</v>
      </c>
      <c r="D51" s="76" t="s">
        <v>363</v>
      </c>
      <c r="E51" s="92">
        <f t="shared" si="0"/>
        <v>5</v>
      </c>
      <c r="F51" s="151">
        <v>5</v>
      </c>
      <c r="G51" s="151">
        <v>5</v>
      </c>
      <c r="H51" s="92"/>
      <c r="I51" s="92">
        <f t="shared" si="1"/>
        <v>0</v>
      </c>
      <c r="J51" s="92">
        <f t="shared" si="2"/>
        <v>0</v>
      </c>
      <c r="K51" s="151"/>
      <c r="L51" s="151"/>
      <c r="M51" s="92"/>
      <c r="N51" s="92"/>
    </row>
    <row r="52" spans="2:27" ht="16.5" thickBot="1" x14ac:dyDescent="0.3">
      <c r="B52" s="75" t="s">
        <v>364</v>
      </c>
      <c r="C52" s="67" t="s">
        <v>365</v>
      </c>
      <c r="D52" s="76" t="s">
        <v>366</v>
      </c>
      <c r="E52" s="92">
        <f t="shared" si="0"/>
        <v>0</v>
      </c>
      <c r="F52" s="151"/>
      <c r="G52" s="151"/>
      <c r="H52" s="92"/>
      <c r="I52" s="92">
        <f t="shared" si="1"/>
        <v>0</v>
      </c>
      <c r="J52" s="92">
        <f t="shared" si="2"/>
        <v>0</v>
      </c>
      <c r="K52" s="151"/>
      <c r="L52" s="151"/>
      <c r="M52" s="92"/>
      <c r="N52" s="92"/>
    </row>
    <row r="53" spans="2:27" ht="16.5" thickBot="1" x14ac:dyDescent="0.3">
      <c r="B53" s="77" t="s">
        <v>367</v>
      </c>
      <c r="C53" s="67" t="s">
        <v>372</v>
      </c>
      <c r="D53" s="76" t="s">
        <v>368</v>
      </c>
      <c r="E53" s="92">
        <f t="shared" si="0"/>
        <v>9</v>
      </c>
      <c r="F53" s="151">
        <v>9</v>
      </c>
      <c r="G53" s="151">
        <v>9</v>
      </c>
      <c r="H53" s="92"/>
      <c r="I53" s="92">
        <f t="shared" si="1"/>
        <v>0</v>
      </c>
      <c r="J53" s="92">
        <f t="shared" si="2"/>
        <v>0</v>
      </c>
      <c r="K53" s="151"/>
      <c r="L53" s="151"/>
      <c r="M53" s="92"/>
      <c r="N53" s="92"/>
    </row>
    <row r="54" spans="2:27" ht="32.25" thickBot="1" x14ac:dyDescent="0.3">
      <c r="B54" s="75" t="s">
        <v>369</v>
      </c>
      <c r="C54" s="67" t="s">
        <v>476</v>
      </c>
      <c r="D54" s="76" t="s">
        <v>370</v>
      </c>
      <c r="E54" s="92">
        <f t="shared" si="0"/>
        <v>4</v>
      </c>
      <c r="F54" s="151">
        <v>4</v>
      </c>
      <c r="G54" s="151">
        <v>4</v>
      </c>
      <c r="H54" s="92"/>
      <c r="I54" s="92">
        <f t="shared" si="1"/>
        <v>0</v>
      </c>
      <c r="J54" s="92">
        <f t="shared" si="2"/>
        <v>0</v>
      </c>
      <c r="K54" s="151"/>
      <c r="L54" s="151"/>
      <c r="M54" s="92"/>
      <c r="N54" s="92"/>
    </row>
    <row r="55" spans="2:27" ht="16.5" thickBot="1" x14ac:dyDescent="0.3">
      <c r="B55" s="75" t="s">
        <v>371</v>
      </c>
      <c r="C55" s="67" t="s">
        <v>477</v>
      </c>
      <c r="D55" s="76" t="s">
        <v>373</v>
      </c>
      <c r="E55" s="92">
        <f t="shared" si="0"/>
        <v>5</v>
      </c>
      <c r="F55" s="151">
        <v>5</v>
      </c>
      <c r="G55" s="151">
        <v>5</v>
      </c>
      <c r="H55" s="92"/>
      <c r="I55" s="92">
        <f t="shared" si="1"/>
        <v>0</v>
      </c>
      <c r="J55" s="92">
        <f t="shared" si="2"/>
        <v>0</v>
      </c>
      <c r="K55" s="151"/>
      <c r="L55" s="151"/>
      <c r="M55" s="92"/>
      <c r="N55" s="92"/>
    </row>
    <row r="56" spans="2:27" s="5" customFormat="1" ht="16.5" thickBot="1" x14ac:dyDescent="0.3">
      <c r="B56" s="66" t="s">
        <v>226</v>
      </c>
      <c r="C56" s="67" t="s">
        <v>478</v>
      </c>
      <c r="D56" s="39" t="s">
        <v>227</v>
      </c>
      <c r="E56" s="92">
        <f t="shared" si="0"/>
        <v>34</v>
      </c>
      <c r="F56" s="152">
        <v>34</v>
      </c>
      <c r="G56" s="152">
        <v>34</v>
      </c>
      <c r="H56" s="92"/>
      <c r="I56" s="92">
        <f t="shared" si="1"/>
        <v>0</v>
      </c>
      <c r="J56" s="92">
        <f t="shared" si="2"/>
        <v>0</v>
      </c>
      <c r="K56" s="152"/>
      <c r="L56" s="152"/>
      <c r="M56" s="92"/>
      <c r="N56" s="92"/>
      <c r="S56"/>
    </row>
    <row r="57" spans="2:27" s="5" customFormat="1" ht="63.75" thickBot="1" x14ac:dyDescent="0.3">
      <c r="B57" s="66" t="s">
        <v>228</v>
      </c>
      <c r="C57" s="67" t="s">
        <v>479</v>
      </c>
      <c r="D57" s="39" t="s">
        <v>229</v>
      </c>
      <c r="E57" s="92">
        <f t="shared" si="0"/>
        <v>0</v>
      </c>
      <c r="F57" s="152"/>
      <c r="G57" s="152"/>
      <c r="H57" s="92"/>
      <c r="I57" s="92">
        <f t="shared" si="1"/>
        <v>0</v>
      </c>
      <c r="J57" s="92">
        <f t="shared" si="2"/>
        <v>0</v>
      </c>
      <c r="K57" s="152"/>
      <c r="L57" s="152"/>
      <c r="M57" s="92"/>
      <c r="N57" s="92"/>
      <c r="S57"/>
    </row>
    <row r="58" spans="2:27" ht="16.5" thickBot="1" x14ac:dyDescent="0.3">
      <c r="B58" s="75" t="s">
        <v>374</v>
      </c>
      <c r="C58" s="67" t="s">
        <v>480</v>
      </c>
      <c r="D58" s="78" t="s">
        <v>375</v>
      </c>
      <c r="E58" s="92">
        <f t="shared" si="0"/>
        <v>34</v>
      </c>
      <c r="F58" s="151">
        <v>34</v>
      </c>
      <c r="G58" s="151">
        <v>34</v>
      </c>
      <c r="H58" s="92"/>
      <c r="I58" s="92">
        <f t="shared" si="1"/>
        <v>0</v>
      </c>
      <c r="J58" s="92">
        <f t="shared" si="2"/>
        <v>0</v>
      </c>
      <c r="K58" s="151"/>
      <c r="L58" s="151"/>
      <c r="M58" s="92"/>
      <c r="N58" s="92"/>
    </row>
    <row r="59" spans="2:27" ht="16.5" thickBot="1" x14ac:dyDescent="0.3">
      <c r="B59" s="58" t="s">
        <v>376</v>
      </c>
      <c r="C59" s="67" t="s">
        <v>481</v>
      </c>
      <c r="D59" s="60" t="s">
        <v>377</v>
      </c>
      <c r="E59" s="92">
        <f t="shared" si="0"/>
        <v>0</v>
      </c>
      <c r="F59" s="151"/>
      <c r="G59" s="151"/>
      <c r="H59" s="92"/>
      <c r="I59" s="92">
        <f t="shared" si="1"/>
        <v>0</v>
      </c>
      <c r="J59" s="92">
        <f t="shared" si="2"/>
        <v>0</v>
      </c>
      <c r="K59" s="151"/>
      <c r="L59" s="151"/>
      <c r="M59" s="92"/>
      <c r="N59" s="92"/>
    </row>
    <row r="60" spans="2:27" ht="45.75" thickBot="1" x14ac:dyDescent="0.3">
      <c r="B60" s="72" t="s">
        <v>378</v>
      </c>
      <c r="C60" s="67" t="s">
        <v>482</v>
      </c>
      <c r="D60" s="63" t="s">
        <v>379</v>
      </c>
      <c r="E60" s="92">
        <f t="shared" si="0"/>
        <v>8</v>
      </c>
      <c r="F60" s="151">
        <v>8</v>
      </c>
      <c r="G60" s="151">
        <v>8</v>
      </c>
      <c r="H60" s="92"/>
      <c r="I60" s="92">
        <f t="shared" si="1"/>
        <v>1</v>
      </c>
      <c r="J60" s="92">
        <f t="shared" si="2"/>
        <v>1</v>
      </c>
      <c r="K60" s="92">
        <f>'профосмотры 124н'!$S$8</f>
        <v>1</v>
      </c>
      <c r="L60" s="92">
        <f>'профосмотры 124н'!$S$16</f>
        <v>1</v>
      </c>
      <c r="M60" s="92"/>
      <c r="N60" s="92"/>
      <c r="O60" s="417" t="str">
        <f>IF(Q60&gt;0,"стр.8 &lt; суммы строк(8.1+8.2+8.3) по графе "&amp;P60,"ОК")</f>
        <v>ОК</v>
      </c>
      <c r="P60" s="266" t="str">
        <f>IF(Q60&gt;0,INDEX($F$6:$N$6,1,Q60),CHAR(151))</f>
        <v>—</v>
      </c>
      <c r="Q60" s="416">
        <f>IF(ISERROR(MATCH(FALSE,S60:AA60,0)),0,MATCH(FALSE,S60:AA60,0))</f>
        <v>0</v>
      </c>
      <c r="R60" s="419" t="s">
        <v>797</v>
      </c>
      <c r="S60" s="47" t="b">
        <f>F60&gt;=SUM(F61:F63)</f>
        <v>1</v>
      </c>
      <c r="T60" s="47" t="b">
        <f t="shared" ref="T60:AA60" si="10">G60&gt;=SUM(G61:G63)</f>
        <v>1</v>
      </c>
      <c r="U60" s="47" t="b">
        <f t="shared" si="10"/>
        <v>1</v>
      </c>
      <c r="V60" s="47" t="b">
        <f t="shared" si="10"/>
        <v>1</v>
      </c>
      <c r="W60" s="47" t="b">
        <f t="shared" si="10"/>
        <v>1</v>
      </c>
      <c r="X60" s="47" t="b">
        <f t="shared" si="10"/>
        <v>1</v>
      </c>
      <c r="Y60" s="47" t="b">
        <f t="shared" si="10"/>
        <v>1</v>
      </c>
      <c r="Z60" s="47" t="b">
        <f t="shared" si="10"/>
        <v>1</v>
      </c>
      <c r="AA60" s="47" t="b">
        <f t="shared" si="10"/>
        <v>1</v>
      </c>
    </row>
    <row r="61" spans="2:27" ht="142.5" thickBot="1" x14ac:dyDescent="0.3">
      <c r="B61" s="77" t="s">
        <v>380</v>
      </c>
      <c r="C61" s="67" t="s">
        <v>381</v>
      </c>
      <c r="D61" s="78" t="s">
        <v>382</v>
      </c>
      <c r="E61" s="92">
        <f t="shared" si="0"/>
        <v>1</v>
      </c>
      <c r="F61" s="151">
        <v>1</v>
      </c>
      <c r="G61" s="151">
        <v>1</v>
      </c>
      <c r="H61" s="92"/>
      <c r="I61" s="92">
        <f t="shared" si="1"/>
        <v>1</v>
      </c>
      <c r="J61" s="92">
        <f t="shared" si="2"/>
        <v>1</v>
      </c>
      <c r="K61" s="151">
        <v>1</v>
      </c>
      <c r="L61" s="151">
        <v>1</v>
      </c>
      <c r="M61" s="92"/>
      <c r="N61" s="92"/>
    </row>
    <row r="62" spans="2:27" s="5" customFormat="1" ht="79.5" thickBot="1" x14ac:dyDescent="0.3">
      <c r="B62" s="69" t="s">
        <v>232</v>
      </c>
      <c r="C62" s="67" t="s">
        <v>483</v>
      </c>
      <c r="D62" s="70" t="s">
        <v>233</v>
      </c>
      <c r="E62" s="92">
        <f t="shared" si="0"/>
        <v>4</v>
      </c>
      <c r="F62" s="154">
        <v>4</v>
      </c>
      <c r="G62" s="154">
        <v>4</v>
      </c>
      <c r="H62" s="92"/>
      <c r="I62" s="92">
        <f t="shared" si="1"/>
        <v>0</v>
      </c>
      <c r="J62" s="92">
        <f t="shared" si="2"/>
        <v>0</v>
      </c>
      <c r="K62" s="154"/>
      <c r="L62" s="154"/>
      <c r="M62" s="92"/>
      <c r="N62" s="92"/>
      <c r="S62"/>
    </row>
    <row r="63" spans="2:27" s="5" customFormat="1" ht="48" thickBot="1" x14ac:dyDescent="0.3">
      <c r="B63" s="66" t="s">
        <v>234</v>
      </c>
      <c r="C63" s="67" t="s">
        <v>484</v>
      </c>
      <c r="D63" s="39" t="s">
        <v>235</v>
      </c>
      <c r="E63" s="92">
        <f t="shared" si="0"/>
        <v>2</v>
      </c>
      <c r="F63" s="152">
        <v>2</v>
      </c>
      <c r="G63" s="152">
        <v>2</v>
      </c>
      <c r="H63" s="92"/>
      <c r="I63" s="92">
        <f t="shared" si="1"/>
        <v>0</v>
      </c>
      <c r="J63" s="92">
        <f t="shared" si="2"/>
        <v>0</v>
      </c>
      <c r="K63" s="152"/>
      <c r="L63" s="152"/>
      <c r="M63" s="92"/>
      <c r="N63" s="92"/>
      <c r="S63"/>
    </row>
    <row r="64" spans="2:27" ht="45.75" thickBot="1" x14ac:dyDescent="0.3">
      <c r="B64" s="61" t="s">
        <v>383</v>
      </c>
      <c r="C64" s="67" t="s">
        <v>485</v>
      </c>
      <c r="D64" s="63" t="s">
        <v>384</v>
      </c>
      <c r="E64" s="92">
        <f t="shared" si="0"/>
        <v>44</v>
      </c>
      <c r="F64" s="151">
        <v>44</v>
      </c>
      <c r="G64" s="151">
        <v>44</v>
      </c>
      <c r="H64" s="92"/>
      <c r="I64" s="92">
        <f t="shared" si="1"/>
        <v>1</v>
      </c>
      <c r="J64" s="92">
        <f t="shared" si="2"/>
        <v>1</v>
      </c>
      <c r="K64" s="92">
        <f>'профосмотры 124н'!$T$8</f>
        <v>1</v>
      </c>
      <c r="L64" s="92">
        <f>'профосмотры 124н'!$T$16</f>
        <v>1</v>
      </c>
      <c r="M64" s="92"/>
      <c r="N64" s="92"/>
      <c r="O64" s="417" t="str">
        <f>IF(Q64&gt;0,"стр.9 &lt; суммы строк(9.1+9.2+9.3+9.4) по графе "&amp;P64,"ОК")</f>
        <v>ОК</v>
      </c>
      <c r="P64" s="266" t="str">
        <f>IF(Q64&gt;0,INDEX($F$6:$N$6,1,Q64),CHAR(151))</f>
        <v>—</v>
      </c>
      <c r="Q64" s="416">
        <f>IF(ISERROR(MATCH(FALSE,S64:AA64,0)),0,MATCH(FALSE,S64:AA64,0))</f>
        <v>0</v>
      </c>
      <c r="R64" s="419" t="s">
        <v>789</v>
      </c>
      <c r="S64" s="47" t="b">
        <f>F64&gt;=SUM(F65:F68)</f>
        <v>1</v>
      </c>
      <c r="T64" s="47" t="b">
        <f t="shared" ref="T64:AA64" si="11">G64&gt;=SUM(G65:G68)</f>
        <v>1</v>
      </c>
      <c r="U64" s="47" t="b">
        <f t="shared" si="11"/>
        <v>1</v>
      </c>
      <c r="V64" s="47" t="b">
        <f t="shared" si="11"/>
        <v>1</v>
      </c>
      <c r="W64" s="47" t="b">
        <f t="shared" si="11"/>
        <v>1</v>
      </c>
      <c r="X64" s="47" t="b">
        <f t="shared" si="11"/>
        <v>1</v>
      </c>
      <c r="Y64" s="47" t="b">
        <f t="shared" si="11"/>
        <v>1</v>
      </c>
      <c r="Z64" s="47" t="b">
        <f t="shared" si="11"/>
        <v>1</v>
      </c>
      <c r="AA64" s="47" t="b">
        <f t="shared" si="11"/>
        <v>1</v>
      </c>
    </row>
    <row r="65" spans="2:27" s="5" customFormat="1" ht="32.25" thickBot="1" x14ac:dyDescent="0.3">
      <c r="B65" s="66" t="s">
        <v>238</v>
      </c>
      <c r="C65" s="67" t="s">
        <v>268</v>
      </c>
      <c r="D65" s="39" t="s">
        <v>239</v>
      </c>
      <c r="E65" s="92">
        <f t="shared" si="0"/>
        <v>10</v>
      </c>
      <c r="F65" s="152">
        <v>10</v>
      </c>
      <c r="G65" s="152">
        <v>10</v>
      </c>
      <c r="H65" s="92"/>
      <c r="I65" s="92">
        <f t="shared" si="1"/>
        <v>0</v>
      </c>
      <c r="J65" s="92">
        <f t="shared" si="2"/>
        <v>0</v>
      </c>
      <c r="K65" s="152"/>
      <c r="L65" s="152"/>
      <c r="M65" s="92"/>
      <c r="N65" s="92"/>
      <c r="S65"/>
    </row>
    <row r="66" spans="2:27" s="5" customFormat="1" ht="16.5" thickBot="1" x14ac:dyDescent="0.3">
      <c r="B66" s="66" t="s">
        <v>240</v>
      </c>
      <c r="C66" s="67" t="s">
        <v>269</v>
      </c>
      <c r="D66" s="39" t="s">
        <v>241</v>
      </c>
      <c r="E66" s="92">
        <f t="shared" si="0"/>
        <v>15</v>
      </c>
      <c r="F66" s="152">
        <v>15</v>
      </c>
      <c r="G66" s="152">
        <v>15</v>
      </c>
      <c r="H66" s="92"/>
      <c r="I66" s="92">
        <f t="shared" si="1"/>
        <v>1</v>
      </c>
      <c r="J66" s="92">
        <f t="shared" si="2"/>
        <v>1</v>
      </c>
      <c r="K66" s="152">
        <v>1</v>
      </c>
      <c r="L66" s="152">
        <v>1</v>
      </c>
      <c r="M66" s="92"/>
      <c r="N66" s="92"/>
      <c r="S66"/>
    </row>
    <row r="67" spans="2:27" ht="16.5" thickBot="1" x14ac:dyDescent="0.3">
      <c r="B67" s="75" t="s">
        <v>385</v>
      </c>
      <c r="C67" s="67" t="s">
        <v>270</v>
      </c>
      <c r="D67" s="76" t="s">
        <v>386</v>
      </c>
      <c r="E67" s="92">
        <f t="shared" si="0"/>
        <v>0</v>
      </c>
      <c r="F67" s="151"/>
      <c r="G67" s="151"/>
      <c r="H67" s="92"/>
      <c r="I67" s="92">
        <f t="shared" si="1"/>
        <v>0</v>
      </c>
      <c r="J67" s="92">
        <f t="shared" si="2"/>
        <v>0</v>
      </c>
      <c r="K67" s="151"/>
      <c r="L67" s="151"/>
      <c r="M67" s="92"/>
      <c r="N67" s="92"/>
    </row>
    <row r="68" spans="2:27" ht="16.5" thickBot="1" x14ac:dyDescent="0.3">
      <c r="B68" s="79" t="s">
        <v>387</v>
      </c>
      <c r="C68" s="67" t="s">
        <v>271</v>
      </c>
      <c r="D68" s="80" t="s">
        <v>388</v>
      </c>
      <c r="E68" s="92">
        <f t="shared" si="0"/>
        <v>0</v>
      </c>
      <c r="F68" s="151"/>
      <c r="G68" s="151"/>
      <c r="H68" s="92"/>
      <c r="I68" s="92">
        <f t="shared" si="1"/>
        <v>0</v>
      </c>
      <c r="J68" s="92">
        <f t="shared" si="2"/>
        <v>0</v>
      </c>
      <c r="K68" s="151"/>
      <c r="L68" s="151"/>
      <c r="M68" s="92"/>
      <c r="N68" s="92"/>
    </row>
    <row r="69" spans="2:27" ht="45.75" thickBot="1" x14ac:dyDescent="0.3">
      <c r="B69" s="61" t="s">
        <v>397</v>
      </c>
      <c r="C69" s="67" t="s">
        <v>486</v>
      </c>
      <c r="D69" s="81"/>
      <c r="E69" s="92">
        <f>SUM(E70+E74+E76+E77)</f>
        <v>63</v>
      </c>
      <c r="F69" s="92">
        <f t="shared" ref="F69:N69" si="12">SUM(F70+F74+F76+F77)</f>
        <v>5</v>
      </c>
      <c r="G69" s="92">
        <f t="shared" si="12"/>
        <v>63</v>
      </c>
      <c r="H69" s="92">
        <f t="shared" si="12"/>
        <v>0</v>
      </c>
      <c r="I69" s="92">
        <f t="shared" si="1"/>
        <v>0</v>
      </c>
      <c r="J69" s="92">
        <f t="shared" si="2"/>
        <v>0</v>
      </c>
      <c r="K69" s="92">
        <f t="shared" si="12"/>
        <v>0</v>
      </c>
      <c r="L69" s="92">
        <f t="shared" si="12"/>
        <v>0</v>
      </c>
      <c r="M69" s="92">
        <f t="shared" si="12"/>
        <v>0</v>
      </c>
      <c r="N69" s="92">
        <f t="shared" si="12"/>
        <v>0</v>
      </c>
      <c r="O69" s="417" t="str">
        <f>IF(Q69&gt;0,"стр.10.1 &lt; суммы строк(10.1.1+10.1.2+10.1.3) по графе "&amp;P69,"ОК")</f>
        <v>ОК</v>
      </c>
      <c r="P69" s="266" t="str">
        <f>IF(Q69&gt;0,INDEX($F$6:$N$6,1,Q69),CHAR(151))</f>
        <v>—</v>
      </c>
      <c r="Q69" s="416">
        <f>IF(ISERROR(MATCH(FALSE,S69:AA69,0)),0,MATCH(FALSE,S69:AA69,0))</f>
        <v>0</v>
      </c>
      <c r="R69" s="419" t="s">
        <v>790</v>
      </c>
      <c r="S69" s="47" t="b">
        <f>F70&gt;=SUM(F71:F73)</f>
        <v>1</v>
      </c>
      <c r="T69" s="47" t="b">
        <f t="shared" ref="T69:AA69" si="13">G70&gt;=SUM(G71:G73)</f>
        <v>1</v>
      </c>
      <c r="U69" s="47" t="b">
        <f t="shared" si="13"/>
        <v>1</v>
      </c>
      <c r="V69" s="47" t="b">
        <f t="shared" si="13"/>
        <v>1</v>
      </c>
      <c r="W69" s="47" t="b">
        <f t="shared" si="13"/>
        <v>1</v>
      </c>
      <c r="X69" s="47" t="b">
        <f t="shared" si="13"/>
        <v>1</v>
      </c>
      <c r="Y69" s="47" t="b">
        <f t="shared" si="13"/>
        <v>1</v>
      </c>
      <c r="Z69" s="47" t="b">
        <f t="shared" si="13"/>
        <v>1</v>
      </c>
      <c r="AA69" s="47" t="b">
        <f t="shared" si="13"/>
        <v>1</v>
      </c>
    </row>
    <row r="70" spans="2:27" ht="16.5" thickBot="1" x14ac:dyDescent="0.3">
      <c r="B70" s="82" t="s">
        <v>389</v>
      </c>
      <c r="C70" s="67" t="s">
        <v>272</v>
      </c>
      <c r="D70" s="57" t="s">
        <v>390</v>
      </c>
      <c r="E70" s="92">
        <f t="shared" ref="E70:E76" si="14">G70+H70</f>
        <v>14</v>
      </c>
      <c r="F70" s="151">
        <v>4</v>
      </c>
      <c r="G70" s="151">
        <v>14</v>
      </c>
      <c r="H70" s="92"/>
      <c r="I70" s="92">
        <f t="shared" si="1"/>
        <v>0</v>
      </c>
      <c r="J70" s="92">
        <f t="shared" si="2"/>
        <v>0</v>
      </c>
      <c r="K70" s="151"/>
      <c r="L70" s="151"/>
      <c r="M70" s="92"/>
      <c r="N70" s="92"/>
    </row>
    <row r="71" spans="2:27" ht="63.75" thickBot="1" x14ac:dyDescent="0.3">
      <c r="B71" s="75" t="s">
        <v>391</v>
      </c>
      <c r="C71" s="67" t="s">
        <v>487</v>
      </c>
      <c r="D71" s="78" t="s">
        <v>392</v>
      </c>
      <c r="E71" s="92">
        <f t="shared" si="14"/>
        <v>0</v>
      </c>
      <c r="F71" s="151"/>
      <c r="G71" s="151"/>
      <c r="H71" s="92"/>
      <c r="I71" s="92">
        <f t="shared" si="1"/>
        <v>0</v>
      </c>
      <c r="J71" s="92">
        <f t="shared" si="2"/>
        <v>0</v>
      </c>
      <c r="K71" s="151"/>
      <c r="L71" s="151"/>
      <c r="M71" s="92"/>
      <c r="N71" s="92"/>
    </row>
    <row r="72" spans="2:27" ht="32.25" thickBot="1" x14ac:dyDescent="0.3">
      <c r="B72" s="75" t="s">
        <v>393</v>
      </c>
      <c r="C72" s="67" t="s">
        <v>488</v>
      </c>
      <c r="D72" s="78" t="s">
        <v>394</v>
      </c>
      <c r="E72" s="92">
        <f t="shared" si="14"/>
        <v>0</v>
      </c>
      <c r="F72" s="151"/>
      <c r="G72" s="151"/>
      <c r="H72" s="92"/>
      <c r="I72" s="92">
        <f t="shared" ref="I72:I77" si="15">K72+M72</f>
        <v>0</v>
      </c>
      <c r="J72" s="92">
        <f t="shared" ref="J72:J77" si="16">L72+N72</f>
        <v>0</v>
      </c>
      <c r="K72" s="151"/>
      <c r="L72" s="151"/>
      <c r="M72" s="92"/>
      <c r="N72" s="92"/>
    </row>
    <row r="73" spans="2:27" ht="32.25" thickBot="1" x14ac:dyDescent="0.3">
      <c r="B73" s="83" t="s">
        <v>395</v>
      </c>
      <c r="C73" s="67" t="s">
        <v>489</v>
      </c>
      <c r="D73" s="74" t="s">
        <v>396</v>
      </c>
      <c r="E73" s="92">
        <f t="shared" si="14"/>
        <v>0</v>
      </c>
      <c r="F73" s="151"/>
      <c r="G73" s="151"/>
      <c r="H73" s="92"/>
      <c r="I73" s="92">
        <f t="shared" si="15"/>
        <v>0</v>
      </c>
      <c r="J73" s="92">
        <f t="shared" si="16"/>
        <v>0</v>
      </c>
      <c r="K73" s="151"/>
      <c r="L73" s="151"/>
      <c r="M73" s="92"/>
      <c r="N73" s="92"/>
    </row>
    <row r="74" spans="2:27" ht="32.25" thickBot="1" x14ac:dyDescent="0.3">
      <c r="B74" s="82" t="s">
        <v>398</v>
      </c>
      <c r="C74" s="67" t="s">
        <v>490</v>
      </c>
      <c r="D74" s="78" t="s">
        <v>399</v>
      </c>
      <c r="E74" s="92">
        <f t="shared" si="14"/>
        <v>0</v>
      </c>
      <c r="F74" s="151"/>
      <c r="G74" s="151"/>
      <c r="H74" s="92"/>
      <c r="I74" s="92">
        <f t="shared" si="15"/>
        <v>0</v>
      </c>
      <c r="J74" s="92">
        <f t="shared" si="16"/>
        <v>0</v>
      </c>
      <c r="K74" s="151"/>
      <c r="L74" s="151"/>
      <c r="M74" s="92"/>
      <c r="N74" s="92"/>
      <c r="O74" s="417" t="str">
        <f>IF(Q74&gt;0,"стр.11.0 &lt; стр.11.1 по графе "&amp;P74,"ОК")</f>
        <v>ОК</v>
      </c>
      <c r="P74" s="266" t="str">
        <f>IF(Q74&gt;0,INDEX($F$6:$N$6,1,Q74),CHAR(151))</f>
        <v>—</v>
      </c>
      <c r="Q74" s="416">
        <f>IF(ISERROR(MATCH(FALSE,S74:AA74,0)),0,MATCH(FALSE,S74:AA74,0))</f>
        <v>0</v>
      </c>
      <c r="R74" s="418" t="s">
        <v>791</v>
      </c>
      <c r="S74" s="47" t="b">
        <f>F74&gt;=F75</f>
        <v>1</v>
      </c>
      <c r="T74" s="47" t="b">
        <f t="shared" ref="T74:AA74" si="17">G74&gt;=G75</f>
        <v>1</v>
      </c>
      <c r="U74" s="47" t="b">
        <f t="shared" si="17"/>
        <v>1</v>
      </c>
      <c r="V74" s="47" t="b">
        <f t="shared" si="17"/>
        <v>1</v>
      </c>
      <c r="W74" s="47" t="b">
        <f t="shared" si="17"/>
        <v>1</v>
      </c>
      <c r="X74" s="47" t="b">
        <f t="shared" si="17"/>
        <v>1</v>
      </c>
      <c r="Y74" s="47" t="b">
        <f t="shared" si="17"/>
        <v>1</v>
      </c>
      <c r="Z74" s="47" t="b">
        <f t="shared" si="17"/>
        <v>1</v>
      </c>
      <c r="AA74" s="47" t="b">
        <f t="shared" si="17"/>
        <v>1</v>
      </c>
    </row>
    <row r="75" spans="2:27" s="5" customFormat="1" ht="32.25" thickBot="1" x14ac:dyDescent="0.3">
      <c r="B75" s="66" t="s">
        <v>218</v>
      </c>
      <c r="C75" s="67" t="s">
        <v>274</v>
      </c>
      <c r="D75" s="39" t="s">
        <v>219</v>
      </c>
      <c r="E75" s="92">
        <f t="shared" si="14"/>
        <v>0</v>
      </c>
      <c r="F75" s="152"/>
      <c r="G75" s="152"/>
      <c r="H75" s="92"/>
      <c r="I75" s="92">
        <f t="shared" si="15"/>
        <v>0</v>
      </c>
      <c r="J75" s="92">
        <f t="shared" si="16"/>
        <v>0</v>
      </c>
      <c r="K75" s="152"/>
      <c r="L75" s="152"/>
      <c r="M75" s="92"/>
      <c r="N75" s="92"/>
      <c r="S75"/>
    </row>
    <row r="76" spans="2:27" ht="16.5" thickBot="1" x14ac:dyDescent="0.3">
      <c r="B76" s="82" t="s">
        <v>400</v>
      </c>
      <c r="C76" s="67" t="s">
        <v>491</v>
      </c>
      <c r="D76" s="78" t="s">
        <v>401</v>
      </c>
      <c r="E76" s="92">
        <f t="shared" si="14"/>
        <v>0</v>
      </c>
      <c r="F76" s="151"/>
      <c r="G76" s="151"/>
      <c r="H76" s="92"/>
      <c r="I76" s="92">
        <f t="shared" si="15"/>
        <v>0</v>
      </c>
      <c r="J76" s="92">
        <f t="shared" si="16"/>
        <v>0</v>
      </c>
      <c r="K76" s="151"/>
      <c r="L76" s="151"/>
      <c r="M76" s="92"/>
      <c r="N76" s="92"/>
    </row>
    <row r="77" spans="2:27" ht="16.5" thickBot="1" x14ac:dyDescent="0.3">
      <c r="B77" s="82" t="s">
        <v>402</v>
      </c>
      <c r="C77" s="67" t="s">
        <v>492</v>
      </c>
      <c r="D77" s="84" t="s">
        <v>403</v>
      </c>
      <c r="E77" s="92">
        <f>G77+H77</f>
        <v>49</v>
      </c>
      <c r="F77" s="151">
        <v>1</v>
      </c>
      <c r="G77" s="151">
        <v>49</v>
      </c>
      <c r="H77" s="92"/>
      <c r="I77" s="92">
        <f t="shared" si="15"/>
        <v>0</v>
      </c>
      <c r="J77" s="92">
        <f t="shared" si="16"/>
        <v>0</v>
      </c>
      <c r="K77" s="151"/>
      <c r="L77" s="151"/>
      <c r="M77" s="92"/>
      <c r="N77" s="92"/>
    </row>
    <row r="78" spans="2:27" ht="32.25" thickBot="1" x14ac:dyDescent="0.3">
      <c r="B78" s="25" t="s">
        <v>404</v>
      </c>
      <c r="C78" s="196"/>
      <c r="D78" s="27" t="s">
        <v>405</v>
      </c>
      <c r="E78" s="28">
        <f>E7+E9+E35+E37+E42+E44+E48+E60+E64+E69</f>
        <v>365</v>
      </c>
      <c r="F78" s="28">
        <f t="shared" ref="F78:N78" si="18">F7+F9+F35+F37+F42+F44+F48+F60+F64+F69</f>
        <v>212</v>
      </c>
      <c r="G78" s="28">
        <f t="shared" si="18"/>
        <v>365</v>
      </c>
      <c r="H78" s="28">
        <f t="shared" si="18"/>
        <v>0</v>
      </c>
      <c r="I78" s="28">
        <f t="shared" si="18"/>
        <v>5</v>
      </c>
      <c r="J78" s="28">
        <f t="shared" si="18"/>
        <v>5</v>
      </c>
      <c r="K78" s="28">
        <f t="shared" si="18"/>
        <v>5</v>
      </c>
      <c r="L78" s="28">
        <f t="shared" si="18"/>
        <v>5</v>
      </c>
      <c r="M78" s="28">
        <f t="shared" si="18"/>
        <v>0</v>
      </c>
      <c r="N78" s="28">
        <f t="shared" si="18"/>
        <v>0</v>
      </c>
      <c r="O78" s="417" t="str">
        <f>IF(Q78&gt;0,"стр.14.0 ≠ стр.15.0 по графе "&amp;P78,"ОК")</f>
        <v>ОК</v>
      </c>
      <c r="P78" s="266" t="str">
        <f>IF(Q78&gt;0,INDEX($F$6:$N$6,1,Q78),CHAR(151))</f>
        <v>—</v>
      </c>
      <c r="Q78" s="416">
        <f>IF(ISERROR(MATCH(FALSE,S78:AA78,0)),0,MATCH(FALSE,S78:AA78,0))</f>
        <v>0</v>
      </c>
      <c r="R78" s="418" t="s">
        <v>813</v>
      </c>
      <c r="S78" s="334" t="b">
        <v>1</v>
      </c>
      <c r="T78" s="334" t="b">
        <v>1</v>
      </c>
      <c r="U78" s="334" t="b">
        <v>1</v>
      </c>
      <c r="V78" s="47" t="b">
        <f t="shared" ref="V78:AA78" si="19">I78=I79</f>
        <v>1</v>
      </c>
      <c r="W78" s="47" t="b">
        <f t="shared" si="19"/>
        <v>1</v>
      </c>
      <c r="X78" s="47" t="b">
        <f t="shared" si="19"/>
        <v>1</v>
      </c>
      <c r="Y78" s="47" t="b">
        <f t="shared" si="19"/>
        <v>1</v>
      </c>
      <c r="Z78" s="47" t="b">
        <f t="shared" si="19"/>
        <v>1</v>
      </c>
      <c r="AA78" s="47" t="b">
        <f t="shared" si="19"/>
        <v>1</v>
      </c>
    </row>
    <row r="79" spans="2:27" ht="16.5" thickBot="1" x14ac:dyDescent="0.3">
      <c r="B79" s="435" t="str">
        <f>'5000 и 5001 ДВН'!$B$79</f>
        <v>контрольные цифры</v>
      </c>
      <c r="C79" s="426"/>
      <c r="D79" s="426"/>
      <c r="E79" s="426"/>
      <c r="F79" s="426"/>
      <c r="G79" s="426"/>
      <c r="H79" s="426"/>
      <c r="I79" s="434">
        <f>'профосмотры 124н'!$L$8</f>
        <v>5</v>
      </c>
      <c r="J79" s="434">
        <f>'профосмотры 124н'!$U$16</f>
        <v>5</v>
      </c>
      <c r="K79" s="434">
        <f>'профосмотры 124н'!$L$8</f>
        <v>5</v>
      </c>
      <c r="L79" s="453">
        <f>'профосмотры 124н'!$U$16</f>
        <v>5</v>
      </c>
      <c r="M79" s="92"/>
      <c r="N79" s="92"/>
    </row>
    <row r="80" spans="2:27" s="5" customFormat="1" ht="16.5" thickBot="1" x14ac:dyDescent="0.3">
      <c r="B80" s="99" t="s">
        <v>276</v>
      </c>
      <c r="C80" s="98"/>
      <c r="D80" s="98"/>
      <c r="E80" s="98"/>
      <c r="F80" s="98"/>
      <c r="G80" s="98"/>
      <c r="H80" s="98"/>
      <c r="I80" s="98"/>
      <c r="J80" s="98"/>
      <c r="K80" s="98" t="s">
        <v>318</v>
      </c>
      <c r="L80" s="98"/>
      <c r="M80" s="98"/>
      <c r="N80" s="98"/>
      <c r="S80"/>
    </row>
    <row r="81" spans="2:19" s="5" customFormat="1" ht="31.5" customHeight="1" thickBot="1" x14ac:dyDescent="0.3">
      <c r="B81" s="866" t="s">
        <v>277</v>
      </c>
      <c r="C81" s="866"/>
      <c r="D81" s="866"/>
      <c r="E81" s="866"/>
      <c r="F81" s="866"/>
      <c r="G81" s="866"/>
      <c r="H81" s="866"/>
      <c r="I81" s="866"/>
      <c r="J81" s="866"/>
      <c r="K81" s="866"/>
      <c r="L81" s="866"/>
      <c r="M81" s="150"/>
      <c r="N81" s="105" t="s">
        <v>51</v>
      </c>
      <c r="S81"/>
    </row>
    <row r="82" spans="2:19" s="5" customFormat="1" x14ac:dyDescent="0.25"/>
    <row r="84" spans="2:19" x14ac:dyDescent="0.25">
      <c r="B84" s="26" t="s">
        <v>406</v>
      </c>
    </row>
  </sheetData>
  <sheetProtection password="DB70" sheet="1" objects="1" scenarios="1" autoFilter="0"/>
  <autoFilter ref="B6:N6"/>
  <mergeCells count="21">
    <mergeCell ref="B1:N1"/>
    <mergeCell ref="B3:B5"/>
    <mergeCell ref="C3:C5"/>
    <mergeCell ref="D3:D5"/>
    <mergeCell ref="E3:H3"/>
    <mergeCell ref="I3:N3"/>
    <mergeCell ref="G4:H4"/>
    <mergeCell ref="M4:N4"/>
    <mergeCell ref="B81:L81"/>
    <mergeCell ref="K4:L4"/>
    <mergeCell ref="D11:D12"/>
    <mergeCell ref="D13:D14"/>
    <mergeCell ref="D15:D16"/>
    <mergeCell ref="E4:F4"/>
    <mergeCell ref="D19:D20"/>
    <mergeCell ref="I4:J4"/>
    <mergeCell ref="D27:D29"/>
    <mergeCell ref="D30:D32"/>
    <mergeCell ref="D33:D34"/>
    <mergeCell ref="D17:D18"/>
    <mergeCell ref="D21:D22"/>
  </mergeCells>
  <conditionalFormatting sqref="O7">
    <cfRule type="expression" dxfId="112" priority="16" stopIfTrue="1">
      <formula>O7&lt;&gt;"ОК"</formula>
    </cfRule>
  </conditionalFormatting>
  <conditionalFormatting sqref="O8">
    <cfRule type="expression" dxfId="111" priority="15" stopIfTrue="1">
      <formula>O8&lt;&gt;"ОК"</formula>
    </cfRule>
  </conditionalFormatting>
  <conditionalFormatting sqref="O9">
    <cfRule type="expression" dxfId="110" priority="14" stopIfTrue="1">
      <formula>O9&lt;&gt;"ОК"</formula>
    </cfRule>
  </conditionalFormatting>
  <conditionalFormatting sqref="O10">
    <cfRule type="expression" dxfId="109" priority="13" stopIfTrue="1">
      <formula>O10&lt;&gt;"ОК"</formula>
    </cfRule>
  </conditionalFormatting>
  <conditionalFormatting sqref="O11">
    <cfRule type="expression" dxfId="108" priority="12" stopIfTrue="1">
      <formula>O11&lt;&gt;"ОК"</formula>
    </cfRule>
  </conditionalFormatting>
  <conditionalFormatting sqref="O12">
    <cfRule type="expression" dxfId="107" priority="11" stopIfTrue="1">
      <formula>O12&lt;&gt;"ОК"</formula>
    </cfRule>
  </conditionalFormatting>
  <conditionalFormatting sqref="O35">
    <cfRule type="expression" dxfId="106" priority="10" stopIfTrue="1">
      <formula>O35&lt;&gt;"ОК"</formula>
    </cfRule>
  </conditionalFormatting>
  <conditionalFormatting sqref="O37">
    <cfRule type="expression" dxfId="105" priority="9" stopIfTrue="1">
      <formula>O37&lt;&gt;"ОК"</formula>
    </cfRule>
  </conditionalFormatting>
  <conditionalFormatting sqref="O42">
    <cfRule type="expression" dxfId="104" priority="8" stopIfTrue="1">
      <formula>O42&lt;&gt;"ОК"</formula>
    </cfRule>
  </conditionalFormatting>
  <conditionalFormatting sqref="O44">
    <cfRule type="expression" dxfId="103" priority="7" stopIfTrue="1">
      <formula>O44&lt;&gt;"ОК"</formula>
    </cfRule>
  </conditionalFormatting>
  <conditionalFormatting sqref="O48">
    <cfRule type="expression" dxfId="102" priority="6" stopIfTrue="1">
      <formula>O48&lt;&gt;"ОК"</formula>
    </cfRule>
  </conditionalFormatting>
  <conditionalFormatting sqref="O60">
    <cfRule type="expression" dxfId="101" priority="5" stopIfTrue="1">
      <formula>O60&lt;&gt;"ОК"</formula>
    </cfRule>
  </conditionalFormatting>
  <conditionalFormatting sqref="O64">
    <cfRule type="expression" dxfId="100" priority="4" stopIfTrue="1">
      <formula>O64&lt;&gt;"ОК"</formula>
    </cfRule>
  </conditionalFormatting>
  <conditionalFormatting sqref="O69">
    <cfRule type="expression" dxfId="99" priority="3" stopIfTrue="1">
      <formula>O69&lt;&gt;"ОК"</formula>
    </cfRule>
  </conditionalFormatting>
  <conditionalFormatting sqref="O74">
    <cfRule type="expression" dxfId="98" priority="2" stopIfTrue="1">
      <formula>O74&lt;&gt;"ОК"</formula>
    </cfRule>
  </conditionalFormatting>
  <conditionalFormatting sqref="O78">
    <cfRule type="expression" dxfId="97" priority="1" stopIfTrue="1">
      <formula>O78&lt;&gt;"ОК"</formula>
    </cfRule>
  </conditionalFormatting>
  <dataValidations count="1">
    <dataValidation type="custom" showInputMessage="1" showErrorMessage="1" errorTitle="В Н И М А Н И Е !" error="Перед заполнением таблиц НУЖНО ВНАЧАЛЕ заполнить ВСЕ ЖЁЛТЫЕ ПОЛЯ на «Титульном листе»._x000a__x000a_=======  А ТАКЖЕ  =======_x000a__x000a_В эту ячейку можно ввести ТОЛЬКО ЦЕЛОЕ ЧИСЛО &gt;= 0._x000a_" sqref="E70:H77 M81 K70:N77 M79:N79 E7:H68 K7:N68">
      <formula1>AND($A$1=TRUE,ISNUMBER(E7),E7&gt;=0,IF(ISERROR(SEARCH(",?",E7)),0,1)=0)</formula1>
    </dataValidation>
  </dataValidations>
  <hyperlinks>
    <hyperlink ref="D3" r:id="rId1" display="http://ivo.garant.ru/document/redirect/4100000/0"/>
    <hyperlink ref="K80" r:id="rId2" display="http://ivo.garant.ru/document/redirect/179222/792"/>
  </hyperlinks>
  <pageMargins left="0.7" right="0.7" top="0.75" bottom="0.75" header="0.3" footer="0.3"/>
  <pageSetup paperSize="9" scale="63" fitToHeight="0" orientation="landscape" horizontalDpi="4294967295" verticalDpi="4294967295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30F87C"/>
  </sheetPr>
  <dimension ref="B1:CL84"/>
  <sheetViews>
    <sheetView zoomScale="85" zoomScaleNormal="85" workbookViewId="0">
      <pane ySplit="6" topLeftCell="A7" activePane="bottomLeft" state="frozenSplit"/>
      <selection pane="bottomLeft" activeCell="J53" sqref="J53"/>
    </sheetView>
  </sheetViews>
  <sheetFormatPr defaultRowHeight="15.75" x14ac:dyDescent="0.25"/>
  <cols>
    <col min="2" max="2" width="43.140625" style="26" customWidth="1"/>
    <col min="3" max="3" width="9.42578125" customWidth="1"/>
    <col min="4" max="4" width="12.85546875" customWidth="1"/>
    <col min="15" max="15" width="41.140625" customWidth="1"/>
    <col min="16" max="17" width="9.140625" hidden="1" customWidth="1"/>
    <col min="18" max="18" width="45.7109375" hidden="1" customWidth="1"/>
    <col min="19" max="90" width="9.140625" hidden="1" customWidth="1"/>
  </cols>
  <sheetData>
    <row r="1" spans="2:90" s="5" customFormat="1" ht="48" customHeight="1" x14ac:dyDescent="0.25">
      <c r="B1" s="871" t="s">
        <v>166</v>
      </c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</row>
    <row r="2" spans="2:90" s="5" customFormat="1" ht="16.5" thickBot="1" x14ac:dyDescent="0.3">
      <c r="B2" s="21" t="s">
        <v>167</v>
      </c>
      <c r="K2" s="5" t="s">
        <v>319</v>
      </c>
    </row>
    <row r="3" spans="2:90" s="5" customFormat="1" ht="32.25" customHeight="1" thickBot="1" x14ac:dyDescent="0.3">
      <c r="B3" s="872" t="s">
        <v>168</v>
      </c>
      <c r="C3" s="872" t="s">
        <v>159</v>
      </c>
      <c r="D3" s="875" t="s">
        <v>169</v>
      </c>
      <c r="E3" s="867" t="s">
        <v>170</v>
      </c>
      <c r="F3" s="878"/>
      <c r="G3" s="878"/>
      <c r="H3" s="868"/>
      <c r="I3" s="867" t="s">
        <v>171</v>
      </c>
      <c r="J3" s="878"/>
      <c r="K3" s="878"/>
      <c r="L3" s="878"/>
      <c r="M3" s="878"/>
      <c r="N3" s="868"/>
    </row>
    <row r="4" spans="2:90" s="5" customFormat="1" ht="47.25" customHeight="1" thickBot="1" x14ac:dyDescent="0.3">
      <c r="B4" s="873"/>
      <c r="C4" s="873"/>
      <c r="D4" s="876"/>
      <c r="E4" s="869" t="s">
        <v>172</v>
      </c>
      <c r="F4" s="870"/>
      <c r="G4" s="867" t="s">
        <v>32</v>
      </c>
      <c r="H4" s="868"/>
      <c r="I4" s="867" t="s">
        <v>172</v>
      </c>
      <c r="J4" s="868"/>
      <c r="K4" s="867" t="s">
        <v>126</v>
      </c>
      <c r="L4" s="868"/>
      <c r="M4" s="867" t="s">
        <v>127</v>
      </c>
      <c r="N4" s="868"/>
      <c r="O4"/>
    </row>
    <row r="5" spans="2:90" s="5" customFormat="1" ht="113.25" customHeight="1" thickBot="1" x14ac:dyDescent="0.4">
      <c r="B5" s="874"/>
      <c r="C5" s="874"/>
      <c r="D5" s="877"/>
      <c r="E5" s="4" t="s">
        <v>172</v>
      </c>
      <c r="F5" s="1" t="s">
        <v>173</v>
      </c>
      <c r="G5" s="4" t="s">
        <v>174</v>
      </c>
      <c r="H5" s="4" t="s">
        <v>175</v>
      </c>
      <c r="I5" s="4" t="s">
        <v>172</v>
      </c>
      <c r="J5" s="4" t="s">
        <v>173</v>
      </c>
      <c r="K5" s="4" t="s">
        <v>172</v>
      </c>
      <c r="L5" s="4" t="s">
        <v>173</v>
      </c>
      <c r="M5" s="4" t="s">
        <v>172</v>
      </c>
      <c r="N5" s="3" t="s">
        <v>173</v>
      </c>
      <c r="O5" s="444" t="s">
        <v>411</v>
      </c>
      <c r="P5" s="413" t="s">
        <v>468</v>
      </c>
    </row>
    <row r="6" spans="2:90" s="5" customFormat="1" ht="16.5" customHeight="1" thickBot="1" x14ac:dyDescent="0.3">
      <c r="B6" s="2">
        <v>1</v>
      </c>
      <c r="C6" s="2">
        <v>2</v>
      </c>
      <c r="D6" s="2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3">
        <v>13</v>
      </c>
      <c r="O6"/>
    </row>
    <row r="7" spans="2:90" ht="32.25" thickBot="1" x14ac:dyDescent="0.3">
      <c r="B7" s="55" t="s">
        <v>332</v>
      </c>
      <c r="C7" s="56">
        <v>1</v>
      </c>
      <c r="D7" s="57" t="s">
        <v>333</v>
      </c>
      <c r="E7" s="87">
        <f>'5000 и 5001 ДВН'!E7+'5000 и 5001 ПО'!E7</f>
        <v>3</v>
      </c>
      <c r="F7" s="50">
        <f>'5000 и 5001 ДВН'!F7+'5000 и 5001 ПО'!F7</f>
        <v>3</v>
      </c>
      <c r="G7" s="50">
        <f>'5000 и 5001 ДВН'!G7+'5000 и 5001 ПО'!G7</f>
        <v>2</v>
      </c>
      <c r="H7" s="50">
        <f>'5000 и 5001 ДВН'!H7+'5000 и 5001 ПО'!H7</f>
        <v>1</v>
      </c>
      <c r="I7" s="87">
        <f>K7+M7</f>
        <v>0</v>
      </c>
      <c r="J7" s="87">
        <f>L7+N7</f>
        <v>0</v>
      </c>
      <c r="K7" s="50">
        <f>'5000 и 5001 ДВН'!K7+'5000 и 5001 ПО'!K7</f>
        <v>0</v>
      </c>
      <c r="L7" s="50">
        <f>'5000 и 5001 ДВН'!L7+'5000 и 5001 ПО'!L7</f>
        <v>0</v>
      </c>
      <c r="M7" s="50">
        <f>'5000 и 5001 ДВН'!M7+'5000 и 5001 ПО'!M7</f>
        <v>0</v>
      </c>
      <c r="N7" s="50">
        <f>'5000 и 5001 ДВН'!N7+'5000 и 5001 ПО'!N7</f>
        <v>0</v>
      </c>
      <c r="O7" s="445" t="str">
        <f>IF(Q7&gt;0,"гр.4 &gt;= гр.8 по строке "&amp;P7,"ОК")</f>
        <v>ОК</v>
      </c>
      <c r="P7" s="415" t="str">
        <f>IF(Q7&gt;0,INDEX($C$7:$C$78,Q7,1),CHAR(151))</f>
        <v>—</v>
      </c>
      <c r="Q7" s="47">
        <f>IF(ISERROR(MATCH(FALSE,S7:CL7,0)),0,MATCH(FALSE,S7:CL7,0))</f>
        <v>0</v>
      </c>
      <c r="R7" s="414"/>
      <c r="S7" s="47" t="b">
        <f>IF(OR($E7&lt;&gt;0,$I7&lt;&gt;0),$E7&gt;=$I7,TRUE)</f>
        <v>1</v>
      </c>
      <c r="T7" s="47" t="b">
        <f>IF(OR($E8&lt;&gt;0,$I8&lt;&gt;0),$E8&gt;=$I8,TRUE)</f>
        <v>1</v>
      </c>
      <c r="U7" s="47" t="b">
        <f>IF(OR($E9&lt;&gt;0,$I9&lt;&gt;0),$E9&gt;=$I9,TRUE)</f>
        <v>1</v>
      </c>
      <c r="V7" s="47" t="b">
        <f>IF(OR($E10&lt;&gt;0,$I10&lt;&gt;0),$E10&gt;=$I10,TRUE)</f>
        <v>1</v>
      </c>
      <c r="W7" s="47" t="b">
        <f>IF(OR($E11&lt;&gt;0,$I11&lt;&gt;0),$E11&gt;=$I11,TRUE)</f>
        <v>1</v>
      </c>
      <c r="X7" s="47" t="b">
        <f>IF(OR($E12&lt;&gt;0,$I12&lt;&gt;0),$E12&gt;=$I12,TRUE)</f>
        <v>1</v>
      </c>
      <c r="Y7" s="47" t="b">
        <f>IF(OR($E13&lt;&gt;0,$I13&lt;&gt;0),$E13&gt;=$I13,TRUE)</f>
        <v>1</v>
      </c>
      <c r="Z7" s="47" t="b">
        <f>IF(OR($E14&lt;&gt;0,$I14&lt;&gt;0),$E14&gt;=$I14,TRUE)</f>
        <v>1</v>
      </c>
      <c r="AA7" s="47" t="b">
        <f>IF(OR($E15&lt;&gt;0,$I15&lt;&gt;0),$E15&gt;=$I15,TRUE)</f>
        <v>1</v>
      </c>
      <c r="AB7" s="47" t="b">
        <f>IF(OR($E16&lt;&gt;0,$I16&lt;&gt;0),$E16&gt;=$I16,TRUE)</f>
        <v>1</v>
      </c>
      <c r="AC7" s="47" t="b">
        <f>IF(OR($E17&lt;&gt;0,$I17&lt;&gt;0),$E17&gt;=$I17,TRUE)</f>
        <v>1</v>
      </c>
      <c r="AD7" s="47" t="b">
        <f>IF(OR($E18&lt;&gt;0,$I18&lt;&gt;0),$E18&gt;=$I18,TRUE)</f>
        <v>1</v>
      </c>
      <c r="AE7" s="47" t="b">
        <f>IF(OR($E19&lt;&gt;0,$I19&lt;&gt;0),$E19&gt;=$I19,TRUE)</f>
        <v>1</v>
      </c>
      <c r="AF7" s="47" t="b">
        <f>IF(OR($E20&lt;&gt;0,$I20&lt;&gt;0),$E20&gt;=$I20,TRUE)</f>
        <v>1</v>
      </c>
      <c r="AG7" s="47" t="b">
        <f>IF(OR($E21&lt;&gt;0,$I21&lt;&gt;0),$E21&gt;=$I21,TRUE)</f>
        <v>1</v>
      </c>
      <c r="AH7" s="47" t="b">
        <f>IF(OR($E22&lt;&gt;0,$I22&lt;&gt;0),$E22&gt;=$I22,TRUE)</f>
        <v>1</v>
      </c>
      <c r="AI7" s="47" t="b">
        <f>IF(OR($E23&lt;&gt;0,$I23&lt;&gt;0),$E23&gt;=$I23,TRUE)</f>
        <v>1</v>
      </c>
      <c r="AJ7" s="47" t="b">
        <f>IF(OR($E24&lt;&gt;0,$I24&lt;&gt;0),$E24&gt;=$I24,TRUE)</f>
        <v>1</v>
      </c>
      <c r="AK7" s="47" t="b">
        <f>IF(OR($E25&lt;&gt;0,$I25&lt;&gt;0),$E25&gt;=$I25,TRUE)</f>
        <v>1</v>
      </c>
      <c r="AL7" s="47" t="b">
        <f>IF(OR($E26&lt;&gt;0,$I26&lt;&gt;0),$E26&gt;=$I26,TRUE)</f>
        <v>1</v>
      </c>
      <c r="AM7" s="47" t="b">
        <f>IF(OR($E27&lt;&gt;0,$I27&lt;&gt;0),$E27&gt;=$I27,TRUE)</f>
        <v>1</v>
      </c>
      <c r="AN7" s="47" t="b">
        <f>IF(OR($E28&lt;&gt;0,$I28&lt;&gt;0),$E28&gt;=$I28,TRUE)</f>
        <v>1</v>
      </c>
      <c r="AO7" s="47" t="b">
        <f>IF(OR($E29&lt;&gt;0,$I29&lt;&gt;0),$E29&gt;=$I29,TRUE)</f>
        <v>1</v>
      </c>
      <c r="AP7" s="47" t="b">
        <f>IF(OR($E30&lt;&gt;0,$I30&lt;&gt;0),$E30&gt;=$I30,TRUE)</f>
        <v>1</v>
      </c>
      <c r="AQ7" s="47" t="b">
        <f>IF(OR($E31&lt;&gt;0,$I31&lt;&gt;0),$E31&gt;=$I31,TRUE)</f>
        <v>1</v>
      </c>
      <c r="AR7" s="47" t="b">
        <f>IF(OR($E32&lt;&gt;0,$I32&lt;&gt;0),$E32&gt;=$I32,TRUE)</f>
        <v>1</v>
      </c>
      <c r="AS7" s="47" t="b">
        <f>IF(OR($E33&lt;&gt;0,$I33&lt;&gt;0),$E33&gt;=$I33,TRUE)</f>
        <v>1</v>
      </c>
      <c r="AT7" s="47" t="b">
        <f>IF(OR($E34&lt;&gt;0,$I34&lt;&gt;0),$E34&gt;=$I34,TRUE)</f>
        <v>1</v>
      </c>
      <c r="AU7" s="47" t="b">
        <f>IF(OR($E35&lt;&gt;0,$I35&lt;&gt;0),$E35&gt;=$I35,TRUE)</f>
        <v>1</v>
      </c>
      <c r="AV7" s="47" t="b">
        <f>IF(OR($E36&lt;&gt;0,$I36&lt;&gt;0),$E36&gt;=$I36,TRUE)</f>
        <v>1</v>
      </c>
      <c r="AW7" s="47" t="b">
        <f>IF(OR($E37&lt;&gt;0,$I37&lt;&gt;0),$E37&gt;=$I37,TRUE)</f>
        <v>1</v>
      </c>
      <c r="AX7" s="47" t="b">
        <f>IF(OR($E38&lt;&gt;0,$I38&lt;&gt;0),$E38&gt;=$I38,TRUE)</f>
        <v>1</v>
      </c>
      <c r="AY7" s="47" t="b">
        <f>IF(OR($E39&lt;&gt;0,$I39&lt;&gt;0),$E39&gt;=$I39,TRUE)</f>
        <v>1</v>
      </c>
      <c r="AZ7" s="47" t="b">
        <f>IF(OR($E40&lt;&gt;0,$I40&lt;&gt;0),$E40&gt;=$I40,TRUE)</f>
        <v>1</v>
      </c>
      <c r="BA7" s="47" t="b">
        <f>IF(OR($E41&lt;&gt;0,$I41&lt;&gt;0),$E41&gt;=$I41,TRUE)</f>
        <v>1</v>
      </c>
      <c r="BB7" s="47" t="b">
        <f>IF(OR($E42&lt;&gt;0,$I42&lt;&gt;0),$E42&gt;=$I42,TRUE)</f>
        <v>1</v>
      </c>
      <c r="BC7" s="47" t="b">
        <f>IF(OR($E43&lt;&gt;0,$I43&lt;&gt;0),$E43&gt;=$I43,TRUE)</f>
        <v>1</v>
      </c>
      <c r="BD7" s="47" t="b">
        <f>IF(OR($E44&lt;&gt;0,$I44&lt;&gt;0),$E44&gt;=$I44,TRUE)</f>
        <v>1</v>
      </c>
      <c r="BE7" s="47" t="b">
        <f>IF(OR($E45&lt;&gt;0,$I45&lt;&gt;0),$E45&gt;=$I45,TRUE)</f>
        <v>1</v>
      </c>
      <c r="BF7" s="47" t="b">
        <f>IF(OR($E46&lt;&gt;0,$I46&lt;&gt;0),$E46&gt;=$I46,TRUE)</f>
        <v>1</v>
      </c>
      <c r="BG7" s="47" t="b">
        <f>IF(OR($E47&lt;&gt;0,$I47&lt;&gt;0),$E47&gt;=$I47,TRUE)</f>
        <v>1</v>
      </c>
      <c r="BH7" s="47" t="b">
        <f>IF(OR($E48&lt;&gt;0,$I48&lt;&gt;0),$E48&gt;=$I48,TRUE)</f>
        <v>1</v>
      </c>
      <c r="BI7" s="47" t="b">
        <f>IF(OR($E49&lt;&gt;0,$I49&lt;&gt;0),$E49&gt;=$I49,TRUE)</f>
        <v>1</v>
      </c>
      <c r="BJ7" s="47" t="b">
        <f>IF(OR($E50&lt;&gt;0,$I50&lt;&gt;0),$E50&gt;=$I50,TRUE)</f>
        <v>1</v>
      </c>
      <c r="BK7" s="47" t="b">
        <f>IF(OR($E51&lt;&gt;0,$I51&lt;&gt;0),$E51&gt;=$I51,TRUE)</f>
        <v>1</v>
      </c>
      <c r="BL7" s="47" t="b">
        <f>IF(OR($E52&lt;&gt;0,$I52&lt;&gt;0),$E52&gt;=$I52,TRUE)</f>
        <v>1</v>
      </c>
      <c r="BM7" s="47" t="b">
        <f>IF(OR($E53&lt;&gt;0,$I53&lt;&gt;0),$E53&gt;=$I53,TRUE)</f>
        <v>1</v>
      </c>
      <c r="BN7" s="47" t="b">
        <f>IF(OR($E54&lt;&gt;0,$I54&lt;&gt;0),$E54&gt;=$I54,TRUE)</f>
        <v>1</v>
      </c>
      <c r="BO7" s="47" t="b">
        <f>IF(OR($E55&lt;&gt;0,$I55&lt;&gt;0),$E55&gt;=$I55,TRUE)</f>
        <v>1</v>
      </c>
      <c r="BP7" s="47" t="b">
        <f>IF(OR($E56&lt;&gt;0,$I56&lt;&gt;0),$E56&gt;=$I56,TRUE)</f>
        <v>1</v>
      </c>
      <c r="BQ7" s="47" t="b">
        <f>IF(OR($E57&lt;&gt;0,$I57&lt;&gt;0),$E57&gt;=$I57,TRUE)</f>
        <v>1</v>
      </c>
      <c r="BR7" s="47" t="b">
        <f>IF(OR($E58&lt;&gt;0,$I58&lt;&gt;0),$E58&gt;=$I58,TRUE)</f>
        <v>1</v>
      </c>
      <c r="BS7" s="47" t="b">
        <f>IF(OR($E59&lt;&gt;0,$I59&lt;&gt;0),$E59&gt;=$I59,TRUE)</f>
        <v>1</v>
      </c>
      <c r="BT7" s="47" t="b">
        <f>IF(OR($E60&lt;&gt;0,$I60&lt;&gt;0),$E60&gt;=$I60,TRUE)</f>
        <v>1</v>
      </c>
      <c r="BU7" s="47" t="b">
        <f>IF(OR($E61&lt;&gt;0,$I61&lt;&gt;0),$E61&gt;=$I61,TRUE)</f>
        <v>1</v>
      </c>
      <c r="BV7" s="47" t="b">
        <f>IF(OR($E62&lt;&gt;0,$I62&lt;&gt;0),$E62&gt;=$I62,TRUE)</f>
        <v>1</v>
      </c>
      <c r="BW7" s="47" t="b">
        <f>IF(OR($E63&lt;&gt;0,$I63&lt;&gt;0),$E63&gt;=$I63,TRUE)</f>
        <v>1</v>
      </c>
      <c r="BX7" s="47" t="b">
        <f>IF(OR($E64&lt;&gt;0,$I64&lt;&gt;0),$E64&gt;=$I64,TRUE)</f>
        <v>1</v>
      </c>
      <c r="BY7" s="47" t="b">
        <f>IF(OR($E65&lt;&gt;0,$I65&lt;&gt;0),$E65&gt;=$I65,TRUE)</f>
        <v>1</v>
      </c>
      <c r="BZ7" s="47" t="b">
        <f>IF(OR($E66&lt;&gt;0,$I66&lt;&gt;0),$E66&gt;=$I66,TRUE)</f>
        <v>1</v>
      </c>
      <c r="CA7" s="47" t="b">
        <f>IF(OR($E67&lt;&gt;0,$I67&lt;&gt;0),$E67&gt;=$I67,TRUE)</f>
        <v>1</v>
      </c>
      <c r="CB7" s="47" t="b">
        <f>IF(OR($E68&lt;&gt;0,$I68&lt;&gt;0),$E68&gt;=$I68,TRUE)</f>
        <v>1</v>
      </c>
      <c r="CC7" s="47" t="b">
        <f>IF(OR($E69&lt;&gt;0,$I69&lt;&gt;0),$E69&gt;=$I69,TRUE)</f>
        <v>1</v>
      </c>
      <c r="CD7" s="47" t="b">
        <f>IF(OR($E70&lt;&gt;0,$I70&lt;&gt;0),$E70&gt;=$I70,TRUE)</f>
        <v>1</v>
      </c>
      <c r="CE7" s="47" t="b">
        <f>IF(OR($E71&lt;&gt;0,$I71&lt;&gt;0),$E71&gt;=$I71,TRUE)</f>
        <v>1</v>
      </c>
      <c r="CF7" s="47" t="b">
        <f>IF(OR($E72&lt;&gt;0,$I72&lt;&gt;0),$E72&gt;=$I72,TRUE)</f>
        <v>1</v>
      </c>
      <c r="CG7" s="47" t="b">
        <f>IF(OR($E73&lt;&gt;0,$I73&lt;&gt;0),$E73&gt;=$I73,TRUE)</f>
        <v>1</v>
      </c>
      <c r="CH7" s="47" t="b">
        <f>IF(OR($E74&lt;&gt;0,$I74&lt;&gt;0),$E74&gt;=$I74,TRUE)</f>
        <v>1</v>
      </c>
      <c r="CI7" s="47" t="b">
        <f>IF(OR($E75&lt;&gt;0,$I75&lt;&gt;0),$E75&gt;=$I75,TRUE)</f>
        <v>1</v>
      </c>
      <c r="CJ7" s="47" t="b">
        <f>IF(OR($E76&lt;&gt;0,$I76&lt;&gt;0),$E76&gt;=$I76,TRUE)</f>
        <v>1</v>
      </c>
      <c r="CK7" s="47" t="b">
        <f>IF(OR($E77&lt;&gt;0,$I77&lt;&gt;0),$E77&gt;=$I77,TRUE)</f>
        <v>1</v>
      </c>
      <c r="CL7" s="47" t="b">
        <f>IF(OR($E78&lt;&gt;0,$I78&lt;&gt;0),$E78&gt;=$I78,TRUE)</f>
        <v>1</v>
      </c>
    </row>
    <row r="8" spans="2:90" ht="16.5" customHeight="1" thickBot="1" x14ac:dyDescent="0.3">
      <c r="B8" s="58" t="s">
        <v>334</v>
      </c>
      <c r="C8" s="59" t="s">
        <v>335</v>
      </c>
      <c r="D8" s="60" t="s">
        <v>336</v>
      </c>
      <c r="E8" s="87">
        <f>'5000 и 5001 ДВН'!E8+'5000 и 5001 ПО'!E8</f>
        <v>1</v>
      </c>
      <c r="F8" s="50">
        <f>'5000 и 5001 ДВН'!F8+'5000 и 5001 ПО'!F8</f>
        <v>1</v>
      </c>
      <c r="G8" s="50">
        <f>'5000 и 5001 ДВН'!G8+'5000 и 5001 ПО'!G8</f>
        <v>1</v>
      </c>
      <c r="H8" s="50">
        <f>'5000 и 5001 ДВН'!H8+'5000 и 5001 ПО'!H8</f>
        <v>0</v>
      </c>
      <c r="I8" s="87">
        <f>'5000 и 5001 ДВН'!I8+'5000 и 5001 ПО'!I8</f>
        <v>0</v>
      </c>
      <c r="J8" s="87">
        <f>'5000 и 5001 ДВН'!J8+'5000 и 5001 ПО'!J8</f>
        <v>0</v>
      </c>
      <c r="K8" s="50">
        <f>'5000 и 5001 ДВН'!K8+'5000 и 5001 ПО'!K8</f>
        <v>0</v>
      </c>
      <c r="L8" s="50">
        <f>'5000 и 5001 ДВН'!L8+'5000 и 5001 ПО'!L8</f>
        <v>0</v>
      </c>
      <c r="M8" s="50">
        <f>'5000 и 5001 ДВН'!M8+'5000 и 5001 ПО'!M8</f>
        <v>0</v>
      </c>
      <c r="N8" s="50">
        <f>'5000 и 5001 ДВН'!N8+'5000 и 5001 ПО'!N8</f>
        <v>0</v>
      </c>
      <c r="O8" s="445" t="str">
        <f>IF(Q8&gt;0,"гр.5 &gt;= гр.9 по строке "&amp;P8,"ОК")</f>
        <v>ОК</v>
      </c>
      <c r="P8" s="415" t="str">
        <f>IF(Q8&gt;0,INDEX($C$7:$C$78,Q8,1),CHAR(151))</f>
        <v>—</v>
      </c>
      <c r="Q8" s="47">
        <f>IF(ISERROR(MATCH(FALSE,S8:CL8,0)),0,MATCH(FALSE,S8:CL8,0))</f>
        <v>0</v>
      </c>
      <c r="R8" s="414"/>
      <c r="S8" s="47" t="b">
        <f>IF(OR($F7&lt;&gt;0,$J7&lt;&gt;0),$F7&gt;=$J7,TRUE)</f>
        <v>1</v>
      </c>
      <c r="T8" s="47" t="b">
        <f>IF(OR($F8&lt;&gt;0,$J8&lt;&gt;0),$F8&gt;=$J8,TRUE)</f>
        <v>1</v>
      </c>
      <c r="U8" s="47" t="b">
        <f>IF(OR($F9&lt;&gt;0,$J9&lt;&gt;0),$F9&gt;=$J9,TRUE)</f>
        <v>1</v>
      </c>
      <c r="V8" s="47" t="b">
        <f>IF(OR($F10&lt;&gt;0,$J10&lt;&gt;0),$F10&gt;=$J10,TRUE)</f>
        <v>1</v>
      </c>
      <c r="W8" s="47" t="b">
        <f>IF(OR($F11&lt;&gt;0,$J11&lt;&gt;0),$F11&gt;=$J11,TRUE)</f>
        <v>1</v>
      </c>
      <c r="X8" s="47" t="b">
        <f>IF(OR($F12&lt;&gt;0,$J12&lt;&gt;0),$F12&gt;=$J12,TRUE)</f>
        <v>1</v>
      </c>
      <c r="Y8" s="47" t="b">
        <f>IF(OR($F13&lt;&gt;0,$J13&lt;&gt;0),$F13&gt;=$J13,TRUE)</f>
        <v>1</v>
      </c>
      <c r="Z8" s="47" t="b">
        <f>IF(OR($F14&lt;&gt;0,$J14&lt;&gt;0),$F14&gt;=$J14,TRUE)</f>
        <v>1</v>
      </c>
      <c r="AA8" s="47" t="b">
        <f>IF(OR($F15&lt;&gt;0,$J15&lt;&gt;0),$F15&gt;=$J15,TRUE)</f>
        <v>1</v>
      </c>
      <c r="AB8" s="47" t="b">
        <f>IF(OR($F16&lt;&gt;0,$J16&lt;&gt;0),$F16&gt;=$J16,TRUE)</f>
        <v>1</v>
      </c>
      <c r="AC8" s="47" t="b">
        <f>IF(OR($F17&lt;&gt;0,$J17&lt;&gt;0),$F17&gt;=$J17,TRUE)</f>
        <v>1</v>
      </c>
      <c r="AD8" s="47" t="b">
        <f>IF(OR($F18&lt;&gt;0,$J18&lt;&gt;0),$F18&gt;=$J18,TRUE)</f>
        <v>1</v>
      </c>
      <c r="AE8" s="47" t="b">
        <f>IF(OR($F19&lt;&gt;0,$J19&lt;&gt;0),$F19&gt;=$J19,TRUE)</f>
        <v>1</v>
      </c>
      <c r="AF8" s="47" t="b">
        <f>IF(OR($F20&lt;&gt;0,$J20&lt;&gt;0),$F20&gt;=$J20,TRUE)</f>
        <v>1</v>
      </c>
      <c r="AG8" s="47" t="b">
        <f>IF(OR($F21&lt;&gt;0,$J21&lt;&gt;0),$F21&gt;=$J21,TRUE)</f>
        <v>1</v>
      </c>
      <c r="AH8" s="47" t="b">
        <f>IF(OR($F22&lt;&gt;0,$J22&lt;&gt;0),$F22&gt;=$J22,TRUE)</f>
        <v>1</v>
      </c>
      <c r="AI8" s="47" t="b">
        <f>IF(OR($F23&lt;&gt;0,$J23&lt;&gt;0),$F23&gt;=$J23,TRUE)</f>
        <v>1</v>
      </c>
      <c r="AJ8" s="47" t="b">
        <f>IF(OR($F24&lt;&gt;0,$J24&lt;&gt;0),$F24&gt;=$J24,TRUE)</f>
        <v>1</v>
      </c>
      <c r="AK8" s="47" t="b">
        <f>IF(OR($F25&lt;&gt;0,$J25&lt;&gt;0),$F25&gt;=$J25,TRUE)</f>
        <v>1</v>
      </c>
      <c r="AL8" s="47" t="b">
        <f>IF(OR($F26&lt;&gt;0,$J26&lt;&gt;0),$F26&gt;=$J26,TRUE)</f>
        <v>1</v>
      </c>
      <c r="AM8" s="47" t="b">
        <f>IF(OR($F27&lt;&gt;0,$J27&lt;&gt;0),$F27&gt;=$J27,TRUE)</f>
        <v>1</v>
      </c>
      <c r="AN8" s="47" t="b">
        <f>IF(OR($F28&lt;&gt;0,$J28&lt;&gt;0),$F28&gt;=$J28,TRUE)</f>
        <v>1</v>
      </c>
      <c r="AO8" s="47" t="b">
        <f>IF(OR($F29&lt;&gt;0,$J29&lt;&gt;0),$F29&gt;=$J29,TRUE)</f>
        <v>1</v>
      </c>
      <c r="AP8" s="47" t="b">
        <f>IF(OR($F30&lt;&gt;0,$J30&lt;&gt;0),$F30&gt;=$J30,TRUE)</f>
        <v>1</v>
      </c>
      <c r="AQ8" s="47" t="b">
        <f>IF(OR($F31&lt;&gt;0,$J31&lt;&gt;0),$F31&gt;=$J31,TRUE)</f>
        <v>1</v>
      </c>
      <c r="AR8" s="47" t="b">
        <f>IF(OR($F32&lt;&gt;0,$J32&lt;&gt;0),$F32&gt;=$J32,TRUE)</f>
        <v>1</v>
      </c>
      <c r="AS8" s="47" t="b">
        <f>IF(OR($F33&lt;&gt;0,$J33&lt;&gt;0),$F33&gt;=$J33,TRUE)</f>
        <v>1</v>
      </c>
      <c r="AT8" s="47" t="b">
        <f>IF(OR($F34&lt;&gt;0,$J34&lt;&gt;0),$F34&gt;=$J34,TRUE)</f>
        <v>1</v>
      </c>
      <c r="AU8" s="47" t="b">
        <f>IF(OR($F35&lt;&gt;0,$J35&lt;&gt;0),$F35&gt;=$J35,TRUE)</f>
        <v>1</v>
      </c>
      <c r="AV8" s="47" t="b">
        <f>IF(OR($F36&lt;&gt;0,$J36&lt;&gt;0),$F36&gt;=$J36,TRUE)</f>
        <v>1</v>
      </c>
      <c r="AW8" s="47" t="b">
        <f>IF(OR($F37&lt;&gt;0,$J37&lt;&gt;0),$F37&gt;=$J37,TRUE)</f>
        <v>1</v>
      </c>
      <c r="AX8" s="47" t="b">
        <f>IF(OR($F38&lt;&gt;0,$J38&lt;&gt;0),$F38&gt;=$J38,TRUE)</f>
        <v>1</v>
      </c>
      <c r="AY8" s="47" t="b">
        <f>IF(OR($F39&lt;&gt;0,$J39&lt;&gt;0),$F39&gt;=$J39,TRUE)</f>
        <v>1</v>
      </c>
      <c r="AZ8" s="47" t="b">
        <f>IF(OR($F40&lt;&gt;0,$J40&lt;&gt;0),$F40&gt;=$J40,TRUE)</f>
        <v>1</v>
      </c>
      <c r="BA8" s="47" t="b">
        <f>IF(OR($F41&lt;&gt;0,$J41&lt;&gt;0),$F41&gt;=$J41,TRUE)</f>
        <v>1</v>
      </c>
      <c r="BB8" s="47" t="b">
        <f>IF(OR($F42&lt;&gt;0,$J42&lt;&gt;0),$F42&gt;=$J42,TRUE)</f>
        <v>1</v>
      </c>
      <c r="BC8" s="47" t="b">
        <f>IF(OR($F43&lt;&gt;0,$J43&lt;&gt;0),$F43&gt;=$J43,TRUE)</f>
        <v>1</v>
      </c>
      <c r="BD8" s="47" t="b">
        <f>IF(OR($F44&lt;&gt;0,$J44&lt;&gt;0),$F44&gt;=$J44,TRUE)</f>
        <v>1</v>
      </c>
      <c r="BE8" s="47" t="b">
        <f>IF(OR($F45&lt;&gt;0,$J45&lt;&gt;0),$F45&gt;=$J45,TRUE)</f>
        <v>1</v>
      </c>
      <c r="BF8" s="47" t="b">
        <f>IF(OR($F46&lt;&gt;0,$J46&lt;&gt;0),$F46&gt;=$J46,TRUE)</f>
        <v>1</v>
      </c>
      <c r="BG8" s="47" t="b">
        <f>IF(OR($F47&lt;&gt;0,$J47&lt;&gt;0),$F47&gt;=$J47,TRUE)</f>
        <v>1</v>
      </c>
      <c r="BH8" s="47" t="b">
        <f>IF(OR($F48&lt;&gt;0,$J48&lt;&gt;0),$F48&gt;=$J48,TRUE)</f>
        <v>1</v>
      </c>
      <c r="BI8" s="47" t="b">
        <f>IF(OR($F49&lt;&gt;0,$J49&lt;&gt;0),$F49&gt;=$J49,TRUE)</f>
        <v>1</v>
      </c>
      <c r="BJ8" s="47" t="b">
        <f>IF(OR($F50&lt;&gt;0,$J50&lt;&gt;0),$F50&gt;=$J50,TRUE)</f>
        <v>1</v>
      </c>
      <c r="BK8" s="47" t="b">
        <f>IF(OR($F51&lt;&gt;0,$J51&lt;&gt;0),$F51&gt;=$J51,TRUE)</f>
        <v>1</v>
      </c>
      <c r="BL8" s="47" t="b">
        <f>IF(OR($F52&lt;&gt;0,$J52&lt;&gt;0),$F52&gt;=$J52,TRUE)</f>
        <v>1</v>
      </c>
      <c r="BM8" s="47" t="b">
        <f>IF(OR($F53&lt;&gt;0,$J53&lt;&gt;0),$F53&gt;=$J53,TRUE)</f>
        <v>1</v>
      </c>
      <c r="BN8" s="47" t="b">
        <f>IF(OR($F54&lt;&gt;0,$J54&lt;&gt;0),$F54&gt;=$J54,TRUE)</f>
        <v>1</v>
      </c>
      <c r="BO8" s="47" t="b">
        <f>IF(OR($F55&lt;&gt;0,$J55&lt;&gt;0),$F55&gt;=$J55,TRUE)</f>
        <v>1</v>
      </c>
      <c r="BP8" s="47" t="b">
        <f>IF(OR($F56&lt;&gt;0,$J56&lt;&gt;0),$F56&gt;=$J56,TRUE)</f>
        <v>1</v>
      </c>
      <c r="BQ8" s="47" t="b">
        <f>IF(OR($F57&lt;&gt;0,$J57&lt;&gt;0),$F57&gt;=$J57,TRUE)</f>
        <v>1</v>
      </c>
      <c r="BR8" s="47" t="b">
        <f>IF(OR($F58&lt;&gt;0,$J58&lt;&gt;0),$F58&gt;=$J58,TRUE)</f>
        <v>1</v>
      </c>
      <c r="BS8" s="47" t="b">
        <f>IF(OR($F59&lt;&gt;0,$J59&lt;&gt;0),$F59&gt;=$J59,TRUE)</f>
        <v>1</v>
      </c>
      <c r="BT8" s="47" t="b">
        <f>IF(OR($F60&lt;&gt;0,$J60&lt;&gt;0),$F60&gt;=$J60,TRUE)</f>
        <v>1</v>
      </c>
      <c r="BU8" s="47" t="b">
        <f>IF(OR($F61&lt;&gt;0,$J61&lt;&gt;0),$F61&gt;=$J61,TRUE)</f>
        <v>1</v>
      </c>
      <c r="BV8" s="47" t="b">
        <f>IF(OR($F62&lt;&gt;0,$J62&lt;&gt;0),$F62&gt;=$J62,TRUE)</f>
        <v>1</v>
      </c>
      <c r="BW8" s="47" t="b">
        <f>IF(OR($F63&lt;&gt;0,$J63&lt;&gt;0),$F63&gt;=$J63,TRUE)</f>
        <v>1</v>
      </c>
      <c r="BX8" s="47" t="b">
        <f>IF(OR($F64&lt;&gt;0,$J64&lt;&gt;0),$F64&gt;=$J64,TRUE)</f>
        <v>1</v>
      </c>
      <c r="BY8" s="47" t="b">
        <f>IF(OR($F65&lt;&gt;0,$J65&lt;&gt;0),$F65&gt;=$J65,TRUE)</f>
        <v>1</v>
      </c>
      <c r="BZ8" s="47" t="b">
        <f>IF(OR($F66&lt;&gt;0,$J66&lt;&gt;0),$F66&gt;=$J66,TRUE)</f>
        <v>1</v>
      </c>
      <c r="CA8" s="47" t="b">
        <f>IF(OR($F67&lt;&gt;0,$J67&lt;&gt;0),$F67&gt;=$J67,TRUE)</f>
        <v>1</v>
      </c>
      <c r="CB8" s="47" t="b">
        <f>IF(OR($F68&lt;&gt;0,$J68&lt;&gt;0),$F68&gt;=$J68,TRUE)</f>
        <v>1</v>
      </c>
      <c r="CC8" s="47" t="b">
        <f>IF(OR($F69&lt;&gt;0,$J69&lt;&gt;0),$F69&gt;=$J69,TRUE)</f>
        <v>1</v>
      </c>
      <c r="CD8" s="47" t="b">
        <f>IF(OR($F70&lt;&gt;0,$J70&lt;&gt;0),$F70&gt;=$J70,TRUE)</f>
        <v>1</v>
      </c>
      <c r="CE8" s="47" t="b">
        <f>IF(OR($F71&lt;&gt;0,$J71&lt;&gt;0),$F71&gt;=$J71,TRUE)</f>
        <v>1</v>
      </c>
      <c r="CF8" s="47" t="b">
        <f>IF(OR($F72&lt;&gt;0,$J72&lt;&gt;0),$F72&gt;=$J72,TRUE)</f>
        <v>1</v>
      </c>
      <c r="CG8" s="47" t="b">
        <f>IF(OR($F73&lt;&gt;0,$J73&lt;&gt;0),$F73&gt;=$J73,TRUE)</f>
        <v>1</v>
      </c>
      <c r="CH8" s="47" t="b">
        <f>IF(OR($F74&lt;&gt;0,$J74&lt;&gt;0),$F74&gt;=$J74,TRUE)</f>
        <v>1</v>
      </c>
      <c r="CI8" s="47" t="b">
        <f>IF(OR($F75&lt;&gt;0,$J75&lt;&gt;0),$F75&gt;=$J75,TRUE)</f>
        <v>1</v>
      </c>
      <c r="CJ8" s="47" t="b">
        <f>IF(OR($F76&lt;&gt;0,$J76&lt;&gt;0),$F76&gt;=$J76,TRUE)</f>
        <v>1</v>
      </c>
      <c r="CK8" s="47" t="b">
        <f>IF(OR($F77&lt;&gt;0,$J77&lt;&gt;0),$F77&gt;=$J77,TRUE)</f>
        <v>1</v>
      </c>
      <c r="CL8" s="47" t="b">
        <f>IF(OR($F78&lt;&gt;0,$J78&lt;&gt;0),$F78&gt;=$J78,TRUE)</f>
        <v>1</v>
      </c>
    </row>
    <row r="9" spans="2:90" ht="16.5" customHeight="1" thickBot="1" x14ac:dyDescent="0.3">
      <c r="B9" s="61" t="s">
        <v>337</v>
      </c>
      <c r="C9" s="62">
        <v>2</v>
      </c>
      <c r="D9" s="63" t="s">
        <v>338</v>
      </c>
      <c r="E9" s="87">
        <f>'5000 и 5001 ДВН'!E9+'5000 и 5001 ПО'!E9</f>
        <v>14</v>
      </c>
      <c r="F9" s="50">
        <f>'5000 и 5001 ДВН'!F9+'5000 и 5001 ПО'!F9</f>
        <v>14</v>
      </c>
      <c r="G9" s="50">
        <f>'5000 и 5001 ДВН'!G9+'5000 и 5001 ПО'!G9</f>
        <v>6</v>
      </c>
      <c r="H9" s="50">
        <f>'5000 и 5001 ДВН'!H9+'5000 и 5001 ПО'!H9</f>
        <v>8</v>
      </c>
      <c r="I9" s="87">
        <f>'5000 и 5001 ДВН'!I9+'5000 и 5001 ПО'!I9</f>
        <v>0</v>
      </c>
      <c r="J9" s="87">
        <f>'5000 и 5001 ДВН'!J9+'5000 и 5001 ПО'!J9</f>
        <v>0</v>
      </c>
      <c r="K9" s="50">
        <f>'5000 и 5001 ДВН'!K9+'5000 и 5001 ПО'!K9</f>
        <v>0</v>
      </c>
      <c r="L9" s="50">
        <f>'5000 и 5001 ДВН'!L9+'5000 и 5001 ПО'!L9</f>
        <v>0</v>
      </c>
      <c r="M9" s="50">
        <f>'5000 и 5001 ДВН'!M9+'5000 и 5001 ПО'!M9</f>
        <v>0</v>
      </c>
      <c r="N9" s="50">
        <f>'5000 и 5001 ДВН'!N9+'5000 и 5001 ПО'!N9</f>
        <v>0</v>
      </c>
      <c r="O9" s="445" t="str">
        <f>IF(Q9&gt;0,"гр.6 &gt;= гр.10 по строке "&amp;P9,"ОК")</f>
        <v>ОК</v>
      </c>
      <c r="P9" s="415" t="str">
        <f>IF(Q9&gt;0,INDEX($C$7:$C$78,Q9,1),CHAR(151))</f>
        <v>—</v>
      </c>
      <c r="Q9" s="47">
        <f>IF(ISERROR(MATCH(FALSE,S9:CL9,0)),0,MATCH(FALSE,S9:CL9,0))</f>
        <v>0</v>
      </c>
      <c r="R9" s="414"/>
      <c r="S9" s="47" t="b">
        <f>IF(OR($G7&lt;&gt;0,$K7&lt;&gt;0),$G7&gt;=$K7,TRUE)</f>
        <v>1</v>
      </c>
      <c r="T9" s="47" t="b">
        <f>IF(OR($G8&lt;&gt;0,$K8&lt;&gt;0),$G8&gt;=$K8,TRUE)</f>
        <v>1</v>
      </c>
      <c r="U9" s="47" t="b">
        <f>IF(OR($G9&lt;&gt;0,$K9&lt;&gt;0),$G9&gt;=$K9,TRUE)</f>
        <v>1</v>
      </c>
      <c r="V9" s="47" t="b">
        <f>IF(OR($G10&lt;&gt;0,$K10&lt;&gt;0),$G10&gt;=$K10,TRUE)</f>
        <v>1</v>
      </c>
      <c r="W9" s="47" t="b">
        <f>IF(OR($G11&lt;&gt;0,$K11&lt;&gt;0),$G11&gt;=$K11,TRUE)</f>
        <v>1</v>
      </c>
      <c r="X9" s="47" t="b">
        <f>IF(OR($G12&lt;&gt;0,$K12&lt;&gt;0),$G12&gt;=$K12,TRUE)</f>
        <v>1</v>
      </c>
      <c r="Y9" s="47" t="b">
        <f>IF(OR($G13&lt;&gt;0,$K13&lt;&gt;0),$G13&gt;=$K13,TRUE)</f>
        <v>1</v>
      </c>
      <c r="Z9" s="47" t="b">
        <f>IF(OR($G14&lt;&gt;0,$K14&lt;&gt;0),$G14&gt;=$K14,TRUE)</f>
        <v>1</v>
      </c>
      <c r="AA9" s="47" t="b">
        <f>IF(OR($G15&lt;&gt;0,$K15&lt;&gt;0),$G15&gt;=$K15,TRUE)</f>
        <v>1</v>
      </c>
      <c r="AB9" s="47" t="b">
        <f>IF(OR($G16&lt;&gt;0,$K16&lt;&gt;0),$G16&gt;=$K16,TRUE)</f>
        <v>1</v>
      </c>
      <c r="AC9" s="47" t="b">
        <f>IF(OR($G17&lt;&gt;0,$K17&lt;&gt;0),$G17&gt;=$K17,TRUE)</f>
        <v>1</v>
      </c>
      <c r="AD9" s="47" t="b">
        <f>IF(OR($G18&lt;&gt;0,$K18&lt;&gt;0),$G18&gt;=$K18,TRUE)</f>
        <v>1</v>
      </c>
      <c r="AE9" s="47" t="b">
        <f>IF(OR($G19&lt;&gt;0,$K19&lt;&gt;0),$G19&gt;=$K19,TRUE)</f>
        <v>1</v>
      </c>
      <c r="AF9" s="47" t="b">
        <f>IF(OR($G20&lt;&gt;0,$K20&lt;&gt;0),$G20&gt;=$K20,TRUE)</f>
        <v>1</v>
      </c>
      <c r="AG9" s="47" t="b">
        <f>IF(OR($G21&lt;&gt;0,$K21&lt;&gt;0),$G21&gt;=$K21,TRUE)</f>
        <v>1</v>
      </c>
      <c r="AH9" s="47" t="b">
        <f>IF(OR($G22&lt;&gt;0,$K22&lt;&gt;0),$G22&gt;=$K22,TRUE)</f>
        <v>1</v>
      </c>
      <c r="AI9" s="47" t="b">
        <f>IF(OR($G23&lt;&gt;0,$K23&lt;&gt;0),$G23&gt;=$K23,TRUE)</f>
        <v>1</v>
      </c>
      <c r="AJ9" s="47" t="b">
        <f>IF(OR($G24&lt;&gt;0,$K24&lt;&gt;0),$G24&gt;=$K24,TRUE)</f>
        <v>1</v>
      </c>
      <c r="AK9" s="47" t="b">
        <f>IF(OR($G25&lt;&gt;0,$K25&lt;&gt;0),$G25&gt;=$K25,TRUE)</f>
        <v>1</v>
      </c>
      <c r="AL9" s="47" t="b">
        <f>IF(OR($G26&lt;&gt;0,$K26&lt;&gt;0),$G26&gt;=$K26,TRUE)</f>
        <v>1</v>
      </c>
      <c r="AM9" s="47" t="b">
        <f>IF(OR($G27&lt;&gt;0,$K27&lt;&gt;0),$G27&gt;=$K27,TRUE)</f>
        <v>1</v>
      </c>
      <c r="AN9" s="47" t="b">
        <f>IF(OR($G28&lt;&gt;0,$K28&lt;&gt;0),$G28&gt;=$K28,TRUE)</f>
        <v>1</v>
      </c>
      <c r="AO9" s="47" t="b">
        <f>IF(OR($G29&lt;&gt;0,$K29&lt;&gt;0),$G29&gt;=$K29,TRUE)</f>
        <v>1</v>
      </c>
      <c r="AP9" s="47" t="b">
        <f>IF(OR($G30&lt;&gt;0,$K30&lt;&gt;0),$G30&gt;=$K30,TRUE)</f>
        <v>1</v>
      </c>
      <c r="AQ9" s="47" t="b">
        <f>IF(OR($G31&lt;&gt;0,$K31&lt;&gt;0),$G31&gt;=$K31,TRUE)</f>
        <v>1</v>
      </c>
      <c r="AR9" s="47" t="b">
        <f>IF(OR($G32&lt;&gt;0,$K32&lt;&gt;0),$G32&gt;=$K32,TRUE)</f>
        <v>1</v>
      </c>
      <c r="AS9" s="47" t="b">
        <f>IF(OR($G33&lt;&gt;0,$K33&lt;&gt;0),$G33&gt;=$K33,TRUE)</f>
        <v>1</v>
      </c>
      <c r="AT9" s="47" t="b">
        <f>IF(OR($G34&lt;&gt;0,$K34&lt;&gt;0),$G34&gt;=$K34,TRUE)</f>
        <v>1</v>
      </c>
      <c r="AU9" s="47" t="b">
        <f>IF(OR($G35&lt;&gt;0,$K35&lt;&gt;0),$G35&gt;=$K35,TRUE)</f>
        <v>1</v>
      </c>
      <c r="AV9" s="47" t="b">
        <f>IF(OR($G36&lt;&gt;0,$K36&lt;&gt;0),$G36&gt;=$K36,TRUE)</f>
        <v>1</v>
      </c>
      <c r="AW9" s="47" t="b">
        <f>IF(OR($G37&lt;&gt;0,$K37&lt;&gt;0),$G37&gt;=$K37,TRUE)</f>
        <v>1</v>
      </c>
      <c r="AX9" s="47" t="b">
        <f>IF(OR($G38&lt;&gt;0,$K38&lt;&gt;0),$G38&gt;=$K38,TRUE)</f>
        <v>1</v>
      </c>
      <c r="AY9" s="47" t="b">
        <f>IF(OR($G39&lt;&gt;0,$K39&lt;&gt;0),$G39&gt;=$K39,TRUE)</f>
        <v>1</v>
      </c>
      <c r="AZ9" s="47" t="b">
        <f>IF(OR($G40&lt;&gt;0,$K40&lt;&gt;0),$G40&gt;=$K40,TRUE)</f>
        <v>1</v>
      </c>
      <c r="BA9" s="47" t="b">
        <f>IF(OR($G41&lt;&gt;0,$K41&lt;&gt;0),$G41&gt;=$K41,TRUE)</f>
        <v>1</v>
      </c>
      <c r="BB9" s="47" t="b">
        <f>IF(OR($G42&lt;&gt;0,$K42&lt;&gt;0),$G42&gt;=$K42,TRUE)</f>
        <v>1</v>
      </c>
      <c r="BC9" s="47" t="b">
        <f>IF(OR($G43&lt;&gt;0,$K43&lt;&gt;0),$G43&gt;=$K43,TRUE)</f>
        <v>1</v>
      </c>
      <c r="BD9" s="47" t="b">
        <f>IF(OR($G44&lt;&gt;0,$K44&lt;&gt;0),$G44&gt;=$K44,TRUE)</f>
        <v>1</v>
      </c>
      <c r="BE9" s="47" t="b">
        <f>IF(OR($G45&lt;&gt;0,$K45&lt;&gt;0),$G45&gt;=$K45,TRUE)</f>
        <v>1</v>
      </c>
      <c r="BF9" s="47" t="b">
        <f>IF(OR($G46&lt;&gt;0,$K46&lt;&gt;0),$G46&gt;=$K46,TRUE)</f>
        <v>1</v>
      </c>
      <c r="BG9" s="47" t="b">
        <f>IF(OR($G47&lt;&gt;0,$K47&lt;&gt;0),$G47&gt;=$K47,TRUE)</f>
        <v>1</v>
      </c>
      <c r="BH9" s="47" t="b">
        <f>IF(OR($G48&lt;&gt;0,$K48&lt;&gt;0),$G48&gt;=$K48,TRUE)</f>
        <v>1</v>
      </c>
      <c r="BI9" s="47" t="b">
        <f>IF(OR($G49&lt;&gt;0,$K49&lt;&gt;0),$G49&gt;=$K49,TRUE)</f>
        <v>1</v>
      </c>
      <c r="BJ9" s="47" t="b">
        <f>IF(OR($G50&lt;&gt;0,$K50&lt;&gt;0),$G50&gt;=$K50,TRUE)</f>
        <v>1</v>
      </c>
      <c r="BK9" s="47" t="b">
        <f>IF(OR($G51&lt;&gt;0,$K51&lt;&gt;0),$G51&gt;=$K51,TRUE)</f>
        <v>1</v>
      </c>
      <c r="BL9" s="47" t="b">
        <f>IF(OR($G52&lt;&gt;0,$K52&lt;&gt;0),$G52&gt;=$K52,TRUE)</f>
        <v>1</v>
      </c>
      <c r="BM9" s="47" t="b">
        <f>IF(OR($G53&lt;&gt;0,$K53&lt;&gt;0),$G53&gt;=$K53,TRUE)</f>
        <v>1</v>
      </c>
      <c r="BN9" s="47" t="b">
        <f>IF(OR($G54&lt;&gt;0,$K54&lt;&gt;0),$G54&gt;=$K54,TRUE)</f>
        <v>1</v>
      </c>
      <c r="BO9" s="47" t="b">
        <f>IF(OR($G55&lt;&gt;0,$K55&lt;&gt;0),$G55&gt;=$K55,TRUE)</f>
        <v>1</v>
      </c>
      <c r="BP9" s="47" t="b">
        <f>IF(OR($G56&lt;&gt;0,$K56&lt;&gt;0),$G56&gt;=$K56,TRUE)</f>
        <v>1</v>
      </c>
      <c r="BQ9" s="47" t="b">
        <f>IF(OR($G57&lt;&gt;0,$K57&lt;&gt;0),$G57&gt;=$K57,TRUE)</f>
        <v>1</v>
      </c>
      <c r="BR9" s="47" t="b">
        <f>IF(OR($G58&lt;&gt;0,$K58&lt;&gt;0),$G58&gt;=$K58,TRUE)</f>
        <v>1</v>
      </c>
      <c r="BS9" s="47" t="b">
        <f>IF(OR($G59&lt;&gt;0,$K59&lt;&gt;0),$G59&gt;=$K59,TRUE)</f>
        <v>1</v>
      </c>
      <c r="BT9" s="47" t="b">
        <f>IF(OR($G60&lt;&gt;0,$K60&lt;&gt;0),$G60&gt;=$K60,TRUE)</f>
        <v>1</v>
      </c>
      <c r="BU9" s="47" t="b">
        <f>IF(OR($G61&lt;&gt;0,$K61&lt;&gt;0),$G61&gt;=$K61,TRUE)</f>
        <v>1</v>
      </c>
      <c r="BV9" s="47" t="b">
        <f>IF(OR($G62&lt;&gt;0,$K62&lt;&gt;0),$G62&gt;=$K62,TRUE)</f>
        <v>1</v>
      </c>
      <c r="BW9" s="47" t="b">
        <f>IF(OR($G63&lt;&gt;0,$K63&lt;&gt;0),$G63&gt;=$K63,TRUE)</f>
        <v>1</v>
      </c>
      <c r="BX9" s="47" t="b">
        <f>IF(OR($G64&lt;&gt;0,$K64&lt;&gt;0),$G64&gt;=$K64,TRUE)</f>
        <v>1</v>
      </c>
      <c r="BY9" s="47" t="b">
        <f>IF(OR($G65&lt;&gt;0,$K65&lt;&gt;0),$G65&gt;=$K65,TRUE)</f>
        <v>1</v>
      </c>
      <c r="BZ9" s="47" t="b">
        <f>IF(OR($G66&lt;&gt;0,$K66&lt;&gt;0),$G66&gt;=$K66,TRUE)</f>
        <v>1</v>
      </c>
      <c r="CA9" s="47" t="b">
        <f>IF(OR($G67&lt;&gt;0,$K67&lt;&gt;0),$G67&gt;=$K67,TRUE)</f>
        <v>1</v>
      </c>
      <c r="CB9" s="47" t="b">
        <f>IF(OR($G68&lt;&gt;0,$K68&lt;&gt;0),$G68&gt;=$K68,TRUE)</f>
        <v>1</v>
      </c>
      <c r="CC9" s="47" t="b">
        <f>IF(OR($G69&lt;&gt;0,$K69&lt;&gt;0),$G69&gt;=$K69,TRUE)</f>
        <v>1</v>
      </c>
      <c r="CD9" s="47" t="b">
        <f>IF(OR($G70&lt;&gt;0,$K70&lt;&gt;0),$G70&gt;=$K70,TRUE)</f>
        <v>1</v>
      </c>
      <c r="CE9" s="47" t="b">
        <f>IF(OR($G71&lt;&gt;0,$K71&lt;&gt;0),$G71&gt;=$K71,TRUE)</f>
        <v>1</v>
      </c>
      <c r="CF9" s="47" t="b">
        <f>IF(OR($G72&lt;&gt;0,$K72&lt;&gt;0),$G72&gt;=$K72,TRUE)</f>
        <v>1</v>
      </c>
      <c r="CG9" s="47" t="b">
        <f>IF(OR($G73&lt;&gt;0,$K73&lt;&gt;0),$G73&gt;=$K73,TRUE)</f>
        <v>1</v>
      </c>
      <c r="CH9" s="47" t="b">
        <f>IF(OR($G74&lt;&gt;0,$K74&lt;&gt;0),$G74&gt;=$K74,TRUE)</f>
        <v>1</v>
      </c>
      <c r="CI9" s="47" t="b">
        <f>IF(OR($G75&lt;&gt;0,$K75&lt;&gt;0),$G75&gt;=$K75,TRUE)</f>
        <v>1</v>
      </c>
      <c r="CJ9" s="47" t="b">
        <f>IF(OR($G76&lt;&gt;0,$K76&lt;&gt;0),$G76&gt;=$K76,TRUE)</f>
        <v>1</v>
      </c>
      <c r="CK9" s="47" t="b">
        <f>IF(OR($G77&lt;&gt;0,$K77&lt;&gt;0),$G77&gt;=$K77,TRUE)</f>
        <v>1</v>
      </c>
      <c r="CL9" s="47" t="b">
        <f>IF(OR($G78&lt;&gt;0,$K78&lt;&gt;0),$G78&gt;=$K78,TRUE)</f>
        <v>1</v>
      </c>
    </row>
    <row r="10" spans="2:90" ht="19.5" thickBot="1" x14ac:dyDescent="0.3">
      <c r="B10" s="64" t="s">
        <v>178</v>
      </c>
      <c r="C10" s="67" t="s">
        <v>243</v>
      </c>
      <c r="D10" s="65" t="s">
        <v>179</v>
      </c>
      <c r="E10" s="87">
        <f>'5000 и 5001 ДВН'!E10+'5000 и 5001 ПО'!E10</f>
        <v>13</v>
      </c>
      <c r="F10" s="50">
        <f>'5000 и 5001 ДВН'!F10+'5000 и 5001 ПО'!F10</f>
        <v>13</v>
      </c>
      <c r="G10" s="50">
        <f>'5000 и 5001 ДВН'!G10+'5000 и 5001 ПО'!G10</f>
        <v>6</v>
      </c>
      <c r="H10" s="50">
        <f>'5000 и 5001 ДВН'!H10+'5000 и 5001 ПО'!H10</f>
        <v>7</v>
      </c>
      <c r="I10" s="87">
        <f>'5000 и 5001 ДВН'!I10+'5000 и 5001 ПО'!I10</f>
        <v>0</v>
      </c>
      <c r="J10" s="87">
        <f>'5000 и 5001 ДВН'!J10+'5000 и 5001 ПО'!J10</f>
        <v>0</v>
      </c>
      <c r="K10" s="50">
        <f>'5000 и 5001 ДВН'!K10+'5000 и 5001 ПО'!K10</f>
        <v>0</v>
      </c>
      <c r="L10" s="50">
        <f>'5000 и 5001 ДВН'!L10+'5000 и 5001 ПО'!L10</f>
        <v>0</v>
      </c>
      <c r="M10" s="50">
        <f>'5000 и 5001 ДВН'!M10+'5000 и 5001 ПО'!M10</f>
        <v>0</v>
      </c>
      <c r="N10" s="50">
        <f>'5000 и 5001 ДВН'!N10+'5000 и 5001 ПО'!N10</f>
        <v>0</v>
      </c>
      <c r="O10" s="445" t="str">
        <f>IF(Q10&gt;0,"гр.7 &gt;= гр.12 по строке "&amp;P10,"ОК")</f>
        <v>ОК</v>
      </c>
      <c r="P10" s="415" t="str">
        <f>IF(Q10&gt;0,INDEX($C$7:$C$78,Q10,1),CHAR(151))</f>
        <v>—</v>
      </c>
      <c r="Q10" s="47">
        <f>IF(ISERROR(MATCH(FALSE,S10:CL10,0)),0,MATCH(FALSE,S10:CL10,0))</f>
        <v>0</v>
      </c>
      <c r="R10" s="414"/>
      <c r="S10" s="47" t="b">
        <f>IF(OR($H7&lt;&gt;0,$M7&lt;&gt;0),$H7&gt;=$M7,TRUE)</f>
        <v>1</v>
      </c>
      <c r="T10" s="47" t="b">
        <f>IF(OR($H8&lt;&gt;0,$M8&lt;&gt;0),$H8&gt;=$M8,TRUE)</f>
        <v>1</v>
      </c>
      <c r="U10" s="47" t="b">
        <f>IF(OR($H9&lt;&gt;0,$M9&lt;&gt;0),$H9&gt;=$M9,TRUE)</f>
        <v>1</v>
      </c>
      <c r="V10" s="47" t="b">
        <f>IF(OR($H10&lt;&gt;0,$M10&lt;&gt;0),$H10&gt;=$M10,TRUE)</f>
        <v>1</v>
      </c>
      <c r="W10" s="47" t="b">
        <f>IF(OR($H11&lt;&gt;0,$M11&lt;&gt;0),$H11&gt;=$M11,TRUE)</f>
        <v>1</v>
      </c>
      <c r="X10" s="47" t="b">
        <f>IF(OR($H12&lt;&gt;0,$M12&lt;&gt;0),$H12&gt;=$M12,TRUE)</f>
        <v>1</v>
      </c>
      <c r="Y10" s="47" t="b">
        <f>IF(OR($H13&lt;&gt;0,$M13&lt;&gt;0),$H13&gt;=$M13,TRUE)</f>
        <v>1</v>
      </c>
      <c r="Z10" s="47" t="b">
        <f>IF(OR($H14&lt;&gt;0,$M14&lt;&gt;0),$H14&gt;=$M14,TRUE)</f>
        <v>1</v>
      </c>
      <c r="AA10" s="47" t="b">
        <f>IF(OR($H15&lt;&gt;0,$M15&lt;&gt;0),$H15&gt;=$M15,TRUE)</f>
        <v>1</v>
      </c>
      <c r="AB10" s="47" t="b">
        <f>IF(OR($H16&lt;&gt;0,$M16&lt;&gt;0),$H16&gt;=$M16,TRUE)</f>
        <v>1</v>
      </c>
      <c r="AC10" s="47" t="b">
        <f>IF(OR($H17&lt;&gt;0,$M17&lt;&gt;0),$H17&gt;=$M17,TRUE)</f>
        <v>1</v>
      </c>
      <c r="AD10" s="47" t="b">
        <f>IF(OR($H18&lt;&gt;0,$M18&lt;&gt;0),$H18&gt;=$M18,TRUE)</f>
        <v>1</v>
      </c>
      <c r="AE10" s="47" t="b">
        <f>IF(OR($H19&lt;&gt;0,$M19&lt;&gt;0),$H19&gt;=$M19,TRUE)</f>
        <v>1</v>
      </c>
      <c r="AF10" s="47" t="b">
        <f>IF(OR($H20&lt;&gt;0,$M20&lt;&gt;0),$H20&gt;=$M20,TRUE)</f>
        <v>1</v>
      </c>
      <c r="AG10" s="47" t="b">
        <f>IF(OR($H21&lt;&gt;0,$M21&lt;&gt;0),$H21&gt;=$M21,TRUE)</f>
        <v>1</v>
      </c>
      <c r="AH10" s="47" t="b">
        <f>IF(OR($H22&lt;&gt;0,$M22&lt;&gt;0),$H22&gt;=$M22,TRUE)</f>
        <v>1</v>
      </c>
      <c r="AI10" s="47" t="b">
        <f>IF(OR($H23&lt;&gt;0,$M23&lt;&gt;0),$H23&gt;=$M23,TRUE)</f>
        <v>1</v>
      </c>
      <c r="AJ10" s="47" t="b">
        <f>IF(OR($H24&lt;&gt;0,$M24&lt;&gt;0),$H24&gt;=$M24,TRUE)</f>
        <v>1</v>
      </c>
      <c r="AK10" s="47" t="b">
        <f>IF(OR($H25&lt;&gt;0,$M25&lt;&gt;0),$H25&gt;=$M25,TRUE)</f>
        <v>1</v>
      </c>
      <c r="AL10" s="47" t="b">
        <f>IF(OR($H26&lt;&gt;0,$M26&lt;&gt;0),$H26&gt;=$M26,TRUE)</f>
        <v>1</v>
      </c>
      <c r="AM10" s="47" t="b">
        <f>IF(OR($H27&lt;&gt;0,$M27&lt;&gt;0),$H27&gt;=$M27,TRUE)</f>
        <v>1</v>
      </c>
      <c r="AN10" s="47" t="b">
        <f>IF(OR($H28&lt;&gt;0,$M28&lt;&gt;0),$H28&gt;=$M28,TRUE)</f>
        <v>1</v>
      </c>
      <c r="AO10" s="47" t="b">
        <f>IF(OR($H29&lt;&gt;0,$M29&lt;&gt;0),$H29&gt;=$M29,TRUE)</f>
        <v>1</v>
      </c>
      <c r="AP10" s="47" t="b">
        <f>IF(OR($H30&lt;&gt;0,$M30&lt;&gt;0),$H30&gt;=$M30,TRUE)</f>
        <v>1</v>
      </c>
      <c r="AQ10" s="47" t="b">
        <f>IF(OR($H31&lt;&gt;0,$M31&lt;&gt;0),$H31&gt;=$M31,TRUE)</f>
        <v>1</v>
      </c>
      <c r="AR10" s="47" t="b">
        <f>IF(OR($H32&lt;&gt;0,$M32&lt;&gt;0),$H32&gt;=$M32,TRUE)</f>
        <v>1</v>
      </c>
      <c r="AS10" s="47" t="b">
        <f>IF(OR($H33&lt;&gt;0,$M33&lt;&gt;0),$H33&gt;=$M33,TRUE)</f>
        <v>1</v>
      </c>
      <c r="AT10" s="47" t="b">
        <f>IF(OR($H34&lt;&gt;0,$M34&lt;&gt;0),$H34&gt;=$M34,TRUE)</f>
        <v>1</v>
      </c>
      <c r="AU10" s="47" t="b">
        <f>IF(OR($H35&lt;&gt;0,$M35&lt;&gt;0),$H35&gt;=$M35,TRUE)</f>
        <v>1</v>
      </c>
      <c r="AV10" s="47" t="b">
        <f>IF(OR($H36&lt;&gt;0,$M36&lt;&gt;0),$H36&gt;=$M36,TRUE)</f>
        <v>1</v>
      </c>
      <c r="AW10" s="47" t="b">
        <f>IF(OR($H37&lt;&gt;0,$M37&lt;&gt;0),$H37&gt;=$M37,TRUE)</f>
        <v>1</v>
      </c>
      <c r="AX10" s="47" t="b">
        <f>IF(OR($H38&lt;&gt;0,$M38&lt;&gt;0),$H38&gt;=$M38,TRUE)</f>
        <v>1</v>
      </c>
      <c r="AY10" s="47" t="b">
        <f>IF(OR($H39&lt;&gt;0,$M39&lt;&gt;0),$H39&gt;=$M39,TRUE)</f>
        <v>1</v>
      </c>
      <c r="AZ10" s="47" t="b">
        <f>IF(OR($H40&lt;&gt;0,$M40&lt;&gt;0),$H40&gt;=$M40,TRUE)</f>
        <v>1</v>
      </c>
      <c r="BA10" s="47" t="b">
        <f>IF(OR($H41&lt;&gt;0,$M41&lt;&gt;0),$H41&gt;=$M41,TRUE)</f>
        <v>1</v>
      </c>
      <c r="BB10" s="47" t="b">
        <f>IF(OR($H42&lt;&gt;0,$M42&lt;&gt;0),$H42&gt;=$M42,TRUE)</f>
        <v>1</v>
      </c>
      <c r="BC10" s="47" t="b">
        <f>IF(OR($H43&lt;&gt;0,$M43&lt;&gt;0),$H43&gt;=$M43,TRUE)</f>
        <v>1</v>
      </c>
      <c r="BD10" s="47" t="b">
        <f>IF(OR($H44&lt;&gt;0,$M44&lt;&gt;0),$H44&gt;=$M44,TRUE)</f>
        <v>1</v>
      </c>
      <c r="BE10" s="47" t="b">
        <f>IF(OR($H45&lt;&gt;0,$M45&lt;&gt;0),$H45&gt;=$M45,TRUE)</f>
        <v>1</v>
      </c>
      <c r="BF10" s="47" t="b">
        <f>IF(OR($H46&lt;&gt;0,$M46&lt;&gt;0),$H46&gt;=$M46,TRUE)</f>
        <v>1</v>
      </c>
      <c r="BG10" s="47" t="b">
        <f>IF(OR($H47&lt;&gt;0,$M47&lt;&gt;0),$H47&gt;=$M47,TRUE)</f>
        <v>1</v>
      </c>
      <c r="BH10" s="47" t="b">
        <f>IF(OR($H48&lt;&gt;0,$M48&lt;&gt;0),$H48&gt;=$M48,TRUE)</f>
        <v>1</v>
      </c>
      <c r="BI10" s="47" t="b">
        <f>IF(OR($H49&lt;&gt;0,$M49&lt;&gt;0),$H49&gt;=$M49,TRUE)</f>
        <v>1</v>
      </c>
      <c r="BJ10" s="47" t="b">
        <f>IF(OR($H50&lt;&gt;0,$M50&lt;&gt;0),$H50&gt;=$M50,TRUE)</f>
        <v>1</v>
      </c>
      <c r="BK10" s="47" t="b">
        <f>IF(OR($H51&lt;&gt;0,$M51&lt;&gt;0),$H51&gt;=$M51,TRUE)</f>
        <v>1</v>
      </c>
      <c r="BL10" s="47" t="b">
        <f>IF(OR($H52&lt;&gt;0,$M52&lt;&gt;0),$H52&gt;=$M52,TRUE)</f>
        <v>1</v>
      </c>
      <c r="BM10" s="47" t="b">
        <f>IF(OR($H53&lt;&gt;0,$M53&lt;&gt;0),$H53&gt;=$M53,TRUE)</f>
        <v>1</v>
      </c>
      <c r="BN10" s="47" t="b">
        <f>IF(OR($H54&lt;&gt;0,$M54&lt;&gt;0),$H54&gt;=$M54,TRUE)</f>
        <v>1</v>
      </c>
      <c r="BO10" s="47" t="b">
        <f>IF(OR($H55&lt;&gt;0,$M55&lt;&gt;0),$H55&gt;=$M55,TRUE)</f>
        <v>1</v>
      </c>
      <c r="BP10" s="47" t="b">
        <f>IF(OR($H56&lt;&gt;0,$M56&lt;&gt;0),$H56&gt;=$M56,TRUE)</f>
        <v>1</v>
      </c>
      <c r="BQ10" s="47" t="b">
        <f>IF(OR($H57&lt;&gt;0,$M57&lt;&gt;0),$H57&gt;=$M57,TRUE)</f>
        <v>1</v>
      </c>
      <c r="BR10" s="47" t="b">
        <f>IF(OR($H58&lt;&gt;0,$M58&lt;&gt;0),$H58&gt;=$M58,TRUE)</f>
        <v>1</v>
      </c>
      <c r="BS10" s="47" t="b">
        <f>IF(OR($H59&lt;&gt;0,$M59&lt;&gt;0),$H59&gt;=$M59,TRUE)</f>
        <v>1</v>
      </c>
      <c r="BT10" s="47" t="b">
        <f>IF(OR($H60&lt;&gt;0,$M60&lt;&gt;0),$H60&gt;=$M60,TRUE)</f>
        <v>1</v>
      </c>
      <c r="BU10" s="47" t="b">
        <f>IF(OR($H61&lt;&gt;0,$M61&lt;&gt;0),$H61&gt;=$M61,TRUE)</f>
        <v>1</v>
      </c>
      <c r="BV10" s="47" t="b">
        <f>IF(OR($H62&lt;&gt;0,$M62&lt;&gt;0),$H62&gt;=$M62,TRUE)</f>
        <v>1</v>
      </c>
      <c r="BW10" s="47" t="b">
        <f>IF(OR($H63&lt;&gt;0,$M63&lt;&gt;0),$H63&gt;=$M63,TRUE)</f>
        <v>1</v>
      </c>
      <c r="BX10" s="47" t="b">
        <f>IF(OR($H64&lt;&gt;0,$M64&lt;&gt;0),$H64&gt;=$M64,TRUE)</f>
        <v>1</v>
      </c>
      <c r="BY10" s="47" t="b">
        <f>IF(OR($H65&lt;&gt;0,$M65&lt;&gt;0),$H65&gt;=$M65,TRUE)</f>
        <v>1</v>
      </c>
      <c r="BZ10" s="47" t="b">
        <f>IF(OR($H66&lt;&gt;0,$M66&lt;&gt;0),$H66&gt;=$M66,TRUE)</f>
        <v>1</v>
      </c>
      <c r="CA10" s="47" t="b">
        <f>IF(OR($H67&lt;&gt;0,$M67&lt;&gt;0),$H67&gt;=$M67,TRUE)</f>
        <v>1</v>
      </c>
      <c r="CB10" s="47" t="b">
        <f>IF(OR($H68&lt;&gt;0,$M68&lt;&gt;0),$H68&gt;=$M68,TRUE)</f>
        <v>1</v>
      </c>
      <c r="CC10" s="47" t="b">
        <f>IF(OR($H69&lt;&gt;0,$M69&lt;&gt;0),$H69&gt;=$M69,TRUE)</f>
        <v>1</v>
      </c>
      <c r="CD10" s="47" t="b">
        <f>IF(OR($H70&lt;&gt;0,$M70&lt;&gt;0),$H70&gt;=$M70,TRUE)</f>
        <v>1</v>
      </c>
      <c r="CE10" s="47" t="b">
        <f>IF(OR($H71&lt;&gt;0,$M71&lt;&gt;0),$H71&gt;=$M71,TRUE)</f>
        <v>1</v>
      </c>
      <c r="CF10" s="47" t="b">
        <f>IF(OR($H72&lt;&gt;0,$M72&lt;&gt;0),$H72&gt;=$M72,TRUE)</f>
        <v>1</v>
      </c>
      <c r="CG10" s="47" t="b">
        <f>IF(OR($H73&lt;&gt;0,$M73&lt;&gt;0),$H73&gt;=$M73,TRUE)</f>
        <v>1</v>
      </c>
      <c r="CH10" s="47" t="b">
        <f>IF(OR($H74&lt;&gt;0,$M74&lt;&gt;0),$H74&gt;=$M74,TRUE)</f>
        <v>1</v>
      </c>
      <c r="CI10" s="47" t="b">
        <f>IF(OR($H75&lt;&gt;0,$M75&lt;&gt;0),$H75&gt;=$M75,TRUE)</f>
        <v>1</v>
      </c>
      <c r="CJ10" s="47" t="b">
        <f>IF(OR($H76&lt;&gt;0,$M76&lt;&gt;0),$H76&gt;=$M76,TRUE)</f>
        <v>1</v>
      </c>
      <c r="CK10" s="47" t="b">
        <f>IF(OR($H77&lt;&gt;0,$M77&lt;&gt;0),$H77&gt;=$M77,TRUE)</f>
        <v>1</v>
      </c>
      <c r="CL10" s="47" t="b">
        <f>IF(OR($H78&lt;&gt;0,$M78&lt;&gt;0),$H78&gt;=$M78,TRUE)</f>
        <v>1</v>
      </c>
    </row>
    <row r="11" spans="2:90" s="5" customFormat="1" ht="63.75" thickBot="1" x14ac:dyDescent="0.3">
      <c r="B11" s="66" t="s">
        <v>180</v>
      </c>
      <c r="C11" s="67" t="s">
        <v>244</v>
      </c>
      <c r="D11" s="847" t="s">
        <v>181</v>
      </c>
      <c r="E11" s="87">
        <f>'5000 и 5001 ДВН'!E11+'5000 и 5001 ПО'!E11</f>
        <v>0</v>
      </c>
      <c r="F11" s="48">
        <f>'5000 и 5001 ДВН'!F11+'5000 и 5001 ПО'!F11</f>
        <v>0</v>
      </c>
      <c r="G11" s="48">
        <f>'5000 и 5001 ДВН'!G11+'5000 и 5001 ПО'!G11</f>
        <v>0</v>
      </c>
      <c r="H11" s="48">
        <f>'5000 и 5001 ДВН'!H11+'5000 и 5001 ПО'!H11</f>
        <v>0</v>
      </c>
      <c r="I11" s="88">
        <f>'5000 и 5001 ДВН'!I11+'5000 и 5001 ПО'!I11</f>
        <v>0</v>
      </c>
      <c r="J11" s="88">
        <f>'5000 и 5001 ДВН'!J11+'5000 и 5001 ПО'!J11</f>
        <v>0</v>
      </c>
      <c r="K11" s="48">
        <f>'5000 и 5001 ДВН'!K11+'5000 и 5001 ПО'!K11</f>
        <v>0</v>
      </c>
      <c r="L11" s="48">
        <f>'5000 и 5001 ДВН'!L11+'5000 и 5001 ПО'!L11</f>
        <v>0</v>
      </c>
      <c r="M11" s="48">
        <f>'5000 и 5001 ДВН'!M11+'5000 и 5001 ПО'!M11</f>
        <v>0</v>
      </c>
      <c r="N11" s="49">
        <f>'5000 и 5001 ДВН'!N11+'5000 и 5001 ПО'!N11</f>
        <v>0</v>
      </c>
      <c r="O11" s="417" t="str">
        <f>IF(Q11&gt;0,"стр.2.1 &lt; суммы строк (2.2.+2.4+2.6+2.8+2.10+2.12+2.14+2.16+2.18+2.21+2.24) по графе "&amp;P11,"ОК")</f>
        <v>ОК</v>
      </c>
      <c r="P11" s="266" t="str">
        <f>IF(Q11&gt;0,INDEX($F$6:$N$6,1,Q11),CHAR(151))</f>
        <v>—</v>
      </c>
      <c r="Q11" s="416">
        <f>IF(ISERROR(MATCH(FALSE,S11:AA11,0)),0,MATCH(FALSE,S11:AA11,0))</f>
        <v>0</v>
      </c>
      <c r="R11" s="418" t="s">
        <v>787</v>
      </c>
      <c r="S11" s="47" t="b">
        <f>F10&gt;=SUM(F11,F13,F15,F17,F19,F21,F23,F25,F27,F30,F33)</f>
        <v>1</v>
      </c>
      <c r="T11" s="47" t="b">
        <f t="shared" ref="T11:AA11" si="0">G10&gt;=SUM(G11,G13,G15,G17,G19,G21,G23,G25,G27,G30,G33)</f>
        <v>1</v>
      </c>
      <c r="U11" s="47" t="b">
        <f t="shared" si="0"/>
        <v>1</v>
      </c>
      <c r="V11" s="47" t="b">
        <f>I10&gt;=SUM(I11,I13,I15,I17,I19,I21,I23,I25,I27,I30,I33)</f>
        <v>1</v>
      </c>
      <c r="W11" s="47" t="b">
        <f>J10&gt;=SUM(J11,J13,J15,J17,J19,J21,J23,J25,J27,J30,J33)</f>
        <v>1</v>
      </c>
      <c r="X11" s="47" t="b">
        <f t="shared" si="0"/>
        <v>1</v>
      </c>
      <c r="Y11" s="47" t="b">
        <f t="shared" si="0"/>
        <v>1</v>
      </c>
      <c r="Z11" s="47" t="b">
        <f t="shared" si="0"/>
        <v>1</v>
      </c>
      <c r="AA11" s="47" t="b">
        <f t="shared" si="0"/>
        <v>1</v>
      </c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</row>
    <row r="12" spans="2:90" s="5" customFormat="1" ht="16.5" thickBot="1" x14ac:dyDescent="0.3">
      <c r="B12" s="66" t="s">
        <v>182</v>
      </c>
      <c r="C12" s="67" t="s">
        <v>245</v>
      </c>
      <c r="D12" s="865"/>
      <c r="E12" s="87">
        <f>'5000 и 5001 ДВН'!E12+'5000 и 5001 ПО'!E12</f>
        <v>0</v>
      </c>
      <c r="F12" s="48">
        <f>'5000 и 5001 ДВН'!F12+'5000 и 5001 ПО'!F12</f>
        <v>0</v>
      </c>
      <c r="G12" s="48">
        <f>'5000 и 5001 ДВН'!G12+'5000 и 5001 ПО'!G12</f>
        <v>0</v>
      </c>
      <c r="H12" s="48">
        <f>'5000 и 5001 ДВН'!H12+'5000 и 5001 ПО'!H12</f>
        <v>0</v>
      </c>
      <c r="I12" s="88">
        <f>'5000 и 5001 ДВН'!I12+'5000 и 5001 ПО'!I12</f>
        <v>0</v>
      </c>
      <c r="J12" s="88">
        <f>'5000 и 5001 ДВН'!J12+'5000 и 5001 ПО'!J12</f>
        <v>0</v>
      </c>
      <c r="K12" s="48">
        <f>'5000 и 5001 ДВН'!K12+'5000 и 5001 ПО'!K12</f>
        <v>0</v>
      </c>
      <c r="L12" s="48">
        <f>'5000 и 5001 ДВН'!L12+'5000 и 5001 ПО'!L12</f>
        <v>0</v>
      </c>
      <c r="M12" s="48">
        <f>'5000 и 5001 ДВН'!M12+'5000 и 5001 ПО'!M12</f>
        <v>0</v>
      </c>
      <c r="N12" s="49">
        <f>'5000 и 5001 ДВН'!N12+'5000 и 5001 ПО'!N12</f>
        <v>0</v>
      </c>
      <c r="O12" s="417" t="str">
        <f>IF(Q12&gt;0,"стр.2 &lt; стр.2.1 по графе "&amp;P12,"ОК")</f>
        <v>ОК</v>
      </c>
      <c r="P12" s="266" t="str">
        <f>IF(Q12&gt;0,INDEX($F$6:$N$6,1,Q12),CHAR(151))</f>
        <v>—</v>
      </c>
      <c r="Q12" s="416">
        <f>IF(ISERROR(MATCH(FALSE,S12:AA12,0)),0,MATCH(FALSE,S12:AA12,0))</f>
        <v>0</v>
      </c>
      <c r="R12" s="404" t="s">
        <v>788</v>
      </c>
      <c r="S12" s="47" t="b">
        <f>F9&gt;=F10</f>
        <v>1</v>
      </c>
      <c r="T12" s="47" t="b">
        <f t="shared" ref="T12:AA12" si="1">G9&gt;=G10</f>
        <v>1</v>
      </c>
      <c r="U12" s="47" t="b">
        <f t="shared" si="1"/>
        <v>1</v>
      </c>
      <c r="V12" s="47" t="b">
        <f t="shared" si="1"/>
        <v>1</v>
      </c>
      <c r="W12" s="47" t="b">
        <f t="shared" si="1"/>
        <v>1</v>
      </c>
      <c r="X12" s="47" t="b">
        <f t="shared" si="1"/>
        <v>1</v>
      </c>
      <c r="Y12" s="47" t="b">
        <f t="shared" si="1"/>
        <v>1</v>
      </c>
      <c r="Z12" s="47" t="b">
        <f t="shared" si="1"/>
        <v>1</v>
      </c>
      <c r="AA12" s="47" t="b">
        <f t="shared" si="1"/>
        <v>1</v>
      </c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</row>
    <row r="13" spans="2:90" s="5" customFormat="1" ht="16.5" thickBot="1" x14ac:dyDescent="0.3">
      <c r="B13" s="66" t="s">
        <v>183</v>
      </c>
      <c r="C13" s="67" t="s">
        <v>246</v>
      </c>
      <c r="D13" s="847" t="s">
        <v>184</v>
      </c>
      <c r="E13" s="87">
        <f>'5000 и 5001 ДВН'!E13+'5000 и 5001 ПО'!E13</f>
        <v>0</v>
      </c>
      <c r="F13" s="48">
        <f>'5000 и 5001 ДВН'!F13+'5000 и 5001 ПО'!F13</f>
        <v>0</v>
      </c>
      <c r="G13" s="48">
        <f>'5000 и 5001 ДВН'!G13+'5000 и 5001 ПО'!G13</f>
        <v>0</v>
      </c>
      <c r="H13" s="48">
        <f>'5000 и 5001 ДВН'!H13+'5000 и 5001 ПО'!H13</f>
        <v>0</v>
      </c>
      <c r="I13" s="88">
        <f>'5000 и 5001 ДВН'!I13+'5000 и 5001 ПО'!I13</f>
        <v>0</v>
      </c>
      <c r="J13" s="88">
        <f>'5000 и 5001 ДВН'!J13+'5000 и 5001 ПО'!J13</f>
        <v>0</v>
      </c>
      <c r="K13" s="48">
        <f>'5000 и 5001 ДВН'!K13+'5000 и 5001 ПО'!K13</f>
        <v>0</v>
      </c>
      <c r="L13" s="48">
        <f>'5000 и 5001 ДВН'!L13+'5000 и 5001 ПО'!L13</f>
        <v>0</v>
      </c>
      <c r="M13" s="48">
        <f>'5000 и 5001 ДВН'!M13+'5000 и 5001 ПО'!M13</f>
        <v>0</v>
      </c>
      <c r="N13" s="49">
        <f>'5000 и 5001 ДВН'!N13+'5000 и 5001 ПО'!N13</f>
        <v>0</v>
      </c>
      <c r="S13"/>
    </row>
    <row r="14" spans="2:90" s="5" customFormat="1" ht="16.5" thickBot="1" x14ac:dyDescent="0.3">
      <c r="B14" s="66" t="s">
        <v>182</v>
      </c>
      <c r="C14" s="67" t="s">
        <v>247</v>
      </c>
      <c r="D14" s="865"/>
      <c r="E14" s="87">
        <f>'5000 и 5001 ДВН'!E14+'5000 и 5001 ПО'!E14</f>
        <v>0</v>
      </c>
      <c r="F14" s="48">
        <f>'5000 и 5001 ДВН'!F14+'5000 и 5001 ПО'!F14</f>
        <v>0</v>
      </c>
      <c r="G14" s="48">
        <f>'5000 и 5001 ДВН'!G14+'5000 и 5001 ПО'!G14</f>
        <v>0</v>
      </c>
      <c r="H14" s="48">
        <f>'5000 и 5001 ДВН'!H14+'5000 и 5001 ПО'!H14</f>
        <v>0</v>
      </c>
      <c r="I14" s="88">
        <f>'5000 и 5001 ДВН'!I14+'5000 и 5001 ПО'!I14</f>
        <v>0</v>
      </c>
      <c r="J14" s="88">
        <f>'5000 и 5001 ДВН'!J14+'5000 и 5001 ПО'!J14</f>
        <v>0</v>
      </c>
      <c r="K14" s="48">
        <f>'5000 и 5001 ДВН'!K14+'5000 и 5001 ПО'!K14</f>
        <v>0</v>
      </c>
      <c r="L14" s="48">
        <f>'5000 и 5001 ДВН'!L14+'5000 и 5001 ПО'!L14</f>
        <v>0</v>
      </c>
      <c r="M14" s="48">
        <f>'5000 и 5001 ДВН'!M14+'5000 и 5001 ПО'!M14</f>
        <v>0</v>
      </c>
      <c r="N14" s="49">
        <f>'5000 и 5001 ДВН'!N14+'5000 и 5001 ПО'!N14</f>
        <v>0</v>
      </c>
      <c r="S14"/>
    </row>
    <row r="15" spans="2:90" s="5" customFormat="1" ht="16.5" thickBot="1" x14ac:dyDescent="0.3">
      <c r="B15" s="66" t="s">
        <v>185</v>
      </c>
      <c r="C15" s="67" t="s">
        <v>248</v>
      </c>
      <c r="D15" s="847" t="s">
        <v>186</v>
      </c>
      <c r="E15" s="87">
        <f>'5000 и 5001 ДВН'!E15+'5000 и 5001 ПО'!E15</f>
        <v>0</v>
      </c>
      <c r="F15" s="48">
        <f>'5000 и 5001 ДВН'!F15+'5000 и 5001 ПО'!F15</f>
        <v>0</v>
      </c>
      <c r="G15" s="48">
        <f>'5000 и 5001 ДВН'!G15+'5000 и 5001 ПО'!G15</f>
        <v>0</v>
      </c>
      <c r="H15" s="48">
        <f>'5000 и 5001 ДВН'!H15+'5000 и 5001 ПО'!H15</f>
        <v>0</v>
      </c>
      <c r="I15" s="88">
        <f>'5000 и 5001 ДВН'!I15+'5000 и 5001 ПО'!I15</f>
        <v>0</v>
      </c>
      <c r="J15" s="88">
        <f>'5000 и 5001 ДВН'!J15+'5000 и 5001 ПО'!J15</f>
        <v>0</v>
      </c>
      <c r="K15" s="48">
        <f>'5000 и 5001 ДВН'!K15+'5000 и 5001 ПО'!K15</f>
        <v>0</v>
      </c>
      <c r="L15" s="48">
        <f>'5000 и 5001 ДВН'!L15+'5000 и 5001 ПО'!L15</f>
        <v>0</v>
      </c>
      <c r="M15" s="48">
        <f>'5000 и 5001 ДВН'!M15+'5000 и 5001 ПО'!M15</f>
        <v>0</v>
      </c>
      <c r="N15" s="49">
        <f>'5000 и 5001 ДВН'!N15+'5000 и 5001 ПО'!N15</f>
        <v>0</v>
      </c>
      <c r="S15"/>
    </row>
    <row r="16" spans="2:90" s="5" customFormat="1" ht="16.5" thickBot="1" x14ac:dyDescent="0.3">
      <c r="B16" s="66" t="s">
        <v>182</v>
      </c>
      <c r="C16" s="67" t="s">
        <v>249</v>
      </c>
      <c r="D16" s="865"/>
      <c r="E16" s="87">
        <f>'5000 и 5001 ДВН'!E16+'5000 и 5001 ПО'!E16</f>
        <v>0</v>
      </c>
      <c r="F16" s="48">
        <f>'5000 и 5001 ДВН'!F16+'5000 и 5001 ПО'!F16</f>
        <v>0</v>
      </c>
      <c r="G16" s="48">
        <f>'5000 и 5001 ДВН'!G16+'5000 и 5001 ПО'!G16</f>
        <v>0</v>
      </c>
      <c r="H16" s="48">
        <f>'5000 и 5001 ДВН'!H16+'5000 и 5001 ПО'!H16</f>
        <v>0</v>
      </c>
      <c r="I16" s="88">
        <f>'5000 и 5001 ДВН'!I16+'5000 и 5001 ПО'!I16</f>
        <v>0</v>
      </c>
      <c r="J16" s="88">
        <f>'5000 и 5001 ДВН'!J16+'5000 и 5001 ПО'!J16</f>
        <v>0</v>
      </c>
      <c r="K16" s="48">
        <f>'5000 и 5001 ДВН'!K16+'5000 и 5001 ПО'!K16</f>
        <v>0</v>
      </c>
      <c r="L16" s="48">
        <f>'5000 и 5001 ДВН'!L16+'5000 и 5001 ПО'!L16</f>
        <v>0</v>
      </c>
      <c r="M16" s="48">
        <f>'5000 и 5001 ДВН'!M16+'5000 и 5001 ПО'!M16</f>
        <v>0</v>
      </c>
      <c r="N16" s="49">
        <f>'5000 и 5001 ДВН'!N16+'5000 и 5001 ПО'!N16</f>
        <v>0</v>
      </c>
      <c r="S16"/>
    </row>
    <row r="17" spans="2:19" s="5" customFormat="1" ht="16.5" thickBot="1" x14ac:dyDescent="0.3">
      <c r="B17" s="66" t="s">
        <v>187</v>
      </c>
      <c r="C17" s="67" t="s">
        <v>250</v>
      </c>
      <c r="D17" s="847" t="s">
        <v>188</v>
      </c>
      <c r="E17" s="87">
        <f>'5000 и 5001 ДВН'!E17+'5000 и 5001 ПО'!E17</f>
        <v>0</v>
      </c>
      <c r="F17" s="48">
        <f>'5000 и 5001 ДВН'!F17+'5000 и 5001 ПО'!F17</f>
        <v>0</v>
      </c>
      <c r="G17" s="48">
        <f>'5000 и 5001 ДВН'!G17+'5000 и 5001 ПО'!G17</f>
        <v>0</v>
      </c>
      <c r="H17" s="48">
        <f>'5000 и 5001 ДВН'!H17+'5000 и 5001 ПО'!H17</f>
        <v>0</v>
      </c>
      <c r="I17" s="88">
        <f>'5000 и 5001 ДВН'!I17+'5000 и 5001 ПО'!I17</f>
        <v>0</v>
      </c>
      <c r="J17" s="88">
        <f>'5000 и 5001 ДВН'!J17+'5000 и 5001 ПО'!J17</f>
        <v>0</v>
      </c>
      <c r="K17" s="48">
        <f>'5000 и 5001 ДВН'!K17+'5000 и 5001 ПО'!K17</f>
        <v>0</v>
      </c>
      <c r="L17" s="48">
        <f>'5000 и 5001 ДВН'!L17+'5000 и 5001 ПО'!L17</f>
        <v>0</v>
      </c>
      <c r="M17" s="48">
        <f>'5000 и 5001 ДВН'!M17+'5000 и 5001 ПО'!M17</f>
        <v>0</v>
      </c>
      <c r="N17" s="49">
        <f>'5000 и 5001 ДВН'!N17+'5000 и 5001 ПО'!N17</f>
        <v>0</v>
      </c>
      <c r="S17"/>
    </row>
    <row r="18" spans="2:19" s="5" customFormat="1" ht="16.5" thickBot="1" x14ac:dyDescent="0.3">
      <c r="B18" s="66" t="s">
        <v>182</v>
      </c>
      <c r="C18" s="67" t="s">
        <v>251</v>
      </c>
      <c r="D18" s="865"/>
      <c r="E18" s="87">
        <f>'5000 и 5001 ДВН'!E18+'5000 и 5001 ПО'!E18</f>
        <v>0</v>
      </c>
      <c r="F18" s="48">
        <f>'5000 и 5001 ДВН'!F18+'5000 и 5001 ПО'!F18</f>
        <v>0</v>
      </c>
      <c r="G18" s="48">
        <f>'5000 и 5001 ДВН'!G18+'5000 и 5001 ПО'!G18</f>
        <v>0</v>
      </c>
      <c r="H18" s="48">
        <f>'5000 и 5001 ДВН'!H18+'5000 и 5001 ПО'!H18</f>
        <v>0</v>
      </c>
      <c r="I18" s="88">
        <f>'5000 и 5001 ДВН'!I18+'5000 и 5001 ПО'!I18</f>
        <v>0</v>
      </c>
      <c r="J18" s="88">
        <f>'5000 и 5001 ДВН'!J18+'5000 и 5001 ПО'!J18</f>
        <v>0</v>
      </c>
      <c r="K18" s="48">
        <f>'5000 и 5001 ДВН'!K18+'5000 и 5001 ПО'!K18</f>
        <v>0</v>
      </c>
      <c r="L18" s="48">
        <f>'5000 и 5001 ДВН'!L18+'5000 и 5001 ПО'!L18</f>
        <v>0</v>
      </c>
      <c r="M18" s="48">
        <f>'5000 и 5001 ДВН'!M18+'5000 и 5001 ПО'!M18</f>
        <v>0</v>
      </c>
      <c r="N18" s="49">
        <f>'5000 и 5001 ДВН'!N18+'5000 и 5001 ПО'!N18</f>
        <v>0</v>
      </c>
      <c r="S18"/>
    </row>
    <row r="19" spans="2:19" s="5" customFormat="1" ht="16.5" thickBot="1" x14ac:dyDescent="0.3">
      <c r="B19" s="66" t="s">
        <v>189</v>
      </c>
      <c r="C19" s="67" t="s">
        <v>252</v>
      </c>
      <c r="D19" s="847" t="s">
        <v>190</v>
      </c>
      <c r="E19" s="87">
        <f>'5000 и 5001 ДВН'!E19+'5000 и 5001 ПО'!E19</f>
        <v>0</v>
      </c>
      <c r="F19" s="48">
        <f>'5000 и 5001 ДВН'!F19+'5000 и 5001 ПО'!F19</f>
        <v>0</v>
      </c>
      <c r="G19" s="48">
        <f>'5000 и 5001 ДВН'!G19+'5000 и 5001 ПО'!G19</f>
        <v>0</v>
      </c>
      <c r="H19" s="48">
        <f>'5000 и 5001 ДВН'!H19+'5000 и 5001 ПО'!H19</f>
        <v>0</v>
      </c>
      <c r="I19" s="88">
        <f>'5000 и 5001 ДВН'!I19+'5000 и 5001 ПО'!I19</f>
        <v>0</v>
      </c>
      <c r="J19" s="88">
        <f>'5000 и 5001 ДВН'!J19+'5000 и 5001 ПО'!J19</f>
        <v>0</v>
      </c>
      <c r="K19" s="48">
        <f>'5000 и 5001 ДВН'!K19+'5000 и 5001 ПО'!K19</f>
        <v>0</v>
      </c>
      <c r="L19" s="48">
        <f>'5000 и 5001 ДВН'!L19+'5000 и 5001 ПО'!L19</f>
        <v>0</v>
      </c>
      <c r="M19" s="48">
        <f>'5000 и 5001 ДВН'!M19+'5000 и 5001 ПО'!M19</f>
        <v>0</v>
      </c>
      <c r="N19" s="49">
        <f>'5000 и 5001 ДВН'!N19+'5000 и 5001 ПО'!N19</f>
        <v>0</v>
      </c>
      <c r="S19"/>
    </row>
    <row r="20" spans="2:19" s="5" customFormat="1" ht="16.5" thickBot="1" x14ac:dyDescent="0.3">
      <c r="B20" s="66" t="s">
        <v>182</v>
      </c>
      <c r="C20" s="67" t="s">
        <v>253</v>
      </c>
      <c r="D20" s="865"/>
      <c r="E20" s="87">
        <f>'5000 и 5001 ДВН'!E20+'5000 и 5001 ПО'!E20</f>
        <v>0</v>
      </c>
      <c r="F20" s="48">
        <f>'5000 и 5001 ДВН'!F20+'5000 и 5001 ПО'!F20</f>
        <v>0</v>
      </c>
      <c r="G20" s="48">
        <f>'5000 и 5001 ДВН'!G20+'5000 и 5001 ПО'!G20</f>
        <v>0</v>
      </c>
      <c r="H20" s="48">
        <f>'5000 и 5001 ДВН'!H20+'5000 и 5001 ПО'!H20</f>
        <v>0</v>
      </c>
      <c r="I20" s="88">
        <f>'5000 и 5001 ДВН'!I20+'5000 и 5001 ПО'!I20</f>
        <v>0</v>
      </c>
      <c r="J20" s="88">
        <f>'5000 и 5001 ДВН'!J20+'5000 и 5001 ПО'!J20</f>
        <v>0</v>
      </c>
      <c r="K20" s="48">
        <f>'5000 и 5001 ДВН'!K20+'5000 и 5001 ПО'!K20</f>
        <v>0</v>
      </c>
      <c r="L20" s="48">
        <f>'5000 и 5001 ДВН'!L20+'5000 и 5001 ПО'!L20</f>
        <v>0</v>
      </c>
      <c r="M20" s="48">
        <f>'5000 и 5001 ДВН'!M20+'5000 и 5001 ПО'!M20</f>
        <v>0</v>
      </c>
      <c r="N20" s="49">
        <f>'5000 и 5001 ДВН'!N20+'5000 и 5001 ПО'!N20</f>
        <v>0</v>
      </c>
      <c r="S20"/>
    </row>
    <row r="21" spans="2:19" s="5" customFormat="1" ht="48" thickBot="1" x14ac:dyDescent="0.3">
      <c r="B21" s="66" t="s">
        <v>191</v>
      </c>
      <c r="C21" s="67" t="s">
        <v>254</v>
      </c>
      <c r="D21" s="847" t="s">
        <v>192</v>
      </c>
      <c r="E21" s="87">
        <f>'5000 и 5001 ДВН'!E21+'5000 и 5001 ПО'!E21</f>
        <v>0</v>
      </c>
      <c r="F21" s="48">
        <f>'5000 и 5001 ДВН'!F21+'5000 и 5001 ПО'!F21</f>
        <v>0</v>
      </c>
      <c r="G21" s="48">
        <f>'5000 и 5001 ДВН'!G21+'5000 и 5001 ПО'!G21</f>
        <v>0</v>
      </c>
      <c r="H21" s="48">
        <f>'5000 и 5001 ДВН'!H21+'5000 и 5001 ПО'!H21</f>
        <v>0</v>
      </c>
      <c r="I21" s="88">
        <f>'5000 и 5001 ДВН'!I21+'5000 и 5001 ПО'!I21</f>
        <v>0</v>
      </c>
      <c r="J21" s="88">
        <f>'5000 и 5001 ДВН'!J21+'5000 и 5001 ПО'!J21</f>
        <v>0</v>
      </c>
      <c r="K21" s="48">
        <f>'5000 и 5001 ДВН'!K21+'5000 и 5001 ПО'!K21</f>
        <v>0</v>
      </c>
      <c r="L21" s="48">
        <f>'5000 и 5001 ДВН'!L21+'5000 и 5001 ПО'!L21</f>
        <v>0</v>
      </c>
      <c r="M21" s="48">
        <f>'5000 и 5001 ДВН'!M21+'5000 и 5001 ПО'!M21</f>
        <v>0</v>
      </c>
      <c r="N21" s="49">
        <f>'5000 и 5001 ДВН'!N21+'5000 и 5001 ПО'!N21</f>
        <v>0</v>
      </c>
      <c r="S21"/>
    </row>
    <row r="22" spans="2:19" s="5" customFormat="1" ht="16.5" thickBot="1" x14ac:dyDescent="0.3">
      <c r="B22" s="68" t="s">
        <v>182</v>
      </c>
      <c r="C22" s="67" t="s">
        <v>255</v>
      </c>
      <c r="D22" s="865"/>
      <c r="E22" s="87">
        <f>'5000 и 5001 ДВН'!E22+'5000 и 5001 ПО'!E22</f>
        <v>0</v>
      </c>
      <c r="F22" s="51">
        <f>'5000 и 5001 ДВН'!F22+'5000 и 5001 ПО'!F22</f>
        <v>0</v>
      </c>
      <c r="G22" s="51">
        <f>'5000 и 5001 ДВН'!G22+'5000 и 5001 ПО'!G22</f>
        <v>0</v>
      </c>
      <c r="H22" s="51">
        <f>'5000 и 5001 ДВН'!H22+'5000 и 5001 ПО'!H22</f>
        <v>0</v>
      </c>
      <c r="I22" s="89">
        <f>'5000 и 5001 ДВН'!I22+'5000 и 5001 ПО'!I22</f>
        <v>0</v>
      </c>
      <c r="J22" s="89">
        <f>'5000 и 5001 ДВН'!J22+'5000 и 5001 ПО'!J22</f>
        <v>0</v>
      </c>
      <c r="K22" s="51">
        <f>'5000 и 5001 ДВН'!K22+'5000 и 5001 ПО'!K22</f>
        <v>0</v>
      </c>
      <c r="L22" s="51">
        <f>'5000 и 5001 ДВН'!L22+'5000 и 5001 ПО'!L22</f>
        <v>0</v>
      </c>
      <c r="M22" s="51">
        <f>'5000 и 5001 ДВН'!M22+'5000 и 5001 ПО'!M22</f>
        <v>0</v>
      </c>
      <c r="N22" s="52">
        <f>'5000 и 5001 ДВН'!N22+'5000 и 5001 ПО'!N22</f>
        <v>0</v>
      </c>
      <c r="S22"/>
    </row>
    <row r="23" spans="2:19" s="5" customFormat="1" ht="16.5" thickBot="1" x14ac:dyDescent="0.3">
      <c r="B23" s="69" t="s">
        <v>193</v>
      </c>
      <c r="C23" s="67" t="s">
        <v>256</v>
      </c>
      <c r="D23" s="70" t="s">
        <v>194</v>
      </c>
      <c r="E23" s="87">
        <f>'5000 и 5001 ДВН'!E23+'5000 и 5001 ПО'!E23</f>
        <v>0</v>
      </c>
      <c r="F23" s="53">
        <f>'5000 и 5001 ДВН'!F23+'5000 и 5001 ПО'!F23</f>
        <v>0</v>
      </c>
      <c r="G23" s="53">
        <f>'5000 и 5001 ДВН'!G23+'5000 и 5001 ПО'!G23</f>
        <v>0</v>
      </c>
      <c r="H23" s="53">
        <f>'5000 и 5001 ДВН'!H23+'5000 и 5001 ПО'!H23</f>
        <v>0</v>
      </c>
      <c r="I23" s="90">
        <f>'5000 и 5001 ДВН'!I23+'5000 и 5001 ПО'!I23</f>
        <v>0</v>
      </c>
      <c r="J23" s="90">
        <f>'5000 и 5001 ДВН'!J23+'5000 и 5001 ПО'!J23</f>
        <v>0</v>
      </c>
      <c r="K23" s="53">
        <f>'5000 и 5001 ДВН'!K23+'5000 и 5001 ПО'!K23</f>
        <v>0</v>
      </c>
      <c r="L23" s="53">
        <f>'5000 и 5001 ДВН'!L23+'5000 и 5001 ПО'!L23</f>
        <v>0</v>
      </c>
      <c r="M23" s="53">
        <f>'5000 и 5001 ДВН'!M23+'5000 и 5001 ПО'!M23</f>
        <v>0</v>
      </c>
      <c r="N23" s="54">
        <f>'5000 и 5001 ДВН'!N23+'5000 и 5001 ПО'!N23</f>
        <v>0</v>
      </c>
      <c r="S23"/>
    </row>
    <row r="24" spans="2:19" s="5" customFormat="1" ht="16.5" thickBot="1" x14ac:dyDescent="0.3">
      <c r="B24" s="66" t="s">
        <v>182</v>
      </c>
      <c r="C24" s="67" t="s">
        <v>257</v>
      </c>
      <c r="D24" s="71" t="s">
        <v>195</v>
      </c>
      <c r="E24" s="87">
        <f>'5000 и 5001 ДВН'!E24+'5000 и 5001 ПО'!E24</f>
        <v>0</v>
      </c>
      <c r="F24" s="48">
        <f>'5000 и 5001 ДВН'!F24+'5000 и 5001 ПО'!F24</f>
        <v>0</v>
      </c>
      <c r="G24" s="48">
        <f>'5000 и 5001 ДВН'!G24+'5000 и 5001 ПО'!G24</f>
        <v>0</v>
      </c>
      <c r="H24" s="48">
        <f>'5000 и 5001 ДВН'!H24+'5000 и 5001 ПО'!H24</f>
        <v>0</v>
      </c>
      <c r="I24" s="88">
        <f>'5000 и 5001 ДВН'!I24+'5000 и 5001 ПО'!I24</f>
        <v>0</v>
      </c>
      <c r="J24" s="88">
        <f>'5000 и 5001 ДВН'!J24+'5000 и 5001 ПО'!J24</f>
        <v>0</v>
      </c>
      <c r="K24" s="48">
        <f>'5000 и 5001 ДВН'!K24+'5000 и 5001 ПО'!K24</f>
        <v>0</v>
      </c>
      <c r="L24" s="48">
        <f>'5000 и 5001 ДВН'!L24+'5000 и 5001 ПО'!L24</f>
        <v>0</v>
      </c>
      <c r="M24" s="48">
        <f>'5000 и 5001 ДВН'!M24+'5000 и 5001 ПО'!M24</f>
        <v>0</v>
      </c>
      <c r="N24" s="49">
        <f>'5000 и 5001 ДВН'!N24+'5000 и 5001 ПО'!N24</f>
        <v>0</v>
      </c>
      <c r="S24"/>
    </row>
    <row r="25" spans="2:19" s="5" customFormat="1" ht="16.5" thickBot="1" x14ac:dyDescent="0.3">
      <c r="B25" s="66" t="s">
        <v>196</v>
      </c>
      <c r="C25" s="67" t="s">
        <v>258</v>
      </c>
      <c r="D25" s="70" t="s">
        <v>197</v>
      </c>
      <c r="E25" s="87">
        <f>'5000 и 5001 ДВН'!E25+'5000 и 5001 ПО'!E25</f>
        <v>0</v>
      </c>
      <c r="F25" s="48">
        <f>'5000 и 5001 ДВН'!F25+'5000 и 5001 ПО'!F25</f>
        <v>0</v>
      </c>
      <c r="G25" s="48">
        <f>'5000 и 5001 ДВН'!G25+'5000 и 5001 ПО'!G25</f>
        <v>0</v>
      </c>
      <c r="H25" s="48">
        <f>'5000 и 5001 ДВН'!H25+'5000 и 5001 ПО'!H25</f>
        <v>0</v>
      </c>
      <c r="I25" s="88">
        <f>'5000 и 5001 ДВН'!I25+'5000 и 5001 ПО'!I25</f>
        <v>0</v>
      </c>
      <c r="J25" s="88">
        <f>'5000 и 5001 ДВН'!J25+'5000 и 5001 ПО'!J25</f>
        <v>0</v>
      </c>
      <c r="K25" s="48">
        <f>'5000 и 5001 ДВН'!K25+'5000 и 5001 ПО'!K25</f>
        <v>0</v>
      </c>
      <c r="L25" s="48">
        <f>'5000 и 5001 ДВН'!L25+'5000 и 5001 ПО'!L25</f>
        <v>0</v>
      </c>
      <c r="M25" s="48">
        <f>'5000 и 5001 ДВН'!M25+'5000 и 5001 ПО'!M25</f>
        <v>0</v>
      </c>
      <c r="N25" s="49">
        <f>'5000 и 5001 ДВН'!N25+'5000 и 5001 ПО'!N25</f>
        <v>0</v>
      </c>
      <c r="S25"/>
    </row>
    <row r="26" spans="2:19" s="5" customFormat="1" ht="16.5" thickBot="1" x14ac:dyDescent="0.3">
      <c r="B26" s="66" t="s">
        <v>182</v>
      </c>
      <c r="C26" s="67" t="s">
        <v>259</v>
      </c>
      <c r="D26" s="71" t="s">
        <v>198</v>
      </c>
      <c r="E26" s="87">
        <f>'5000 и 5001 ДВН'!E26+'5000 и 5001 ПО'!E26</f>
        <v>0</v>
      </c>
      <c r="F26" s="48">
        <f>'5000 и 5001 ДВН'!F26+'5000 и 5001 ПО'!F26</f>
        <v>0</v>
      </c>
      <c r="G26" s="48">
        <f>'5000 и 5001 ДВН'!G26+'5000 и 5001 ПО'!G26</f>
        <v>0</v>
      </c>
      <c r="H26" s="48">
        <f>'5000 и 5001 ДВН'!H26+'5000 и 5001 ПО'!H26</f>
        <v>0</v>
      </c>
      <c r="I26" s="88">
        <f>'5000 и 5001 ДВН'!I26+'5000 и 5001 ПО'!I26</f>
        <v>0</v>
      </c>
      <c r="J26" s="88">
        <f>'5000 и 5001 ДВН'!J26+'5000 и 5001 ПО'!J26</f>
        <v>0</v>
      </c>
      <c r="K26" s="48">
        <f>'5000 и 5001 ДВН'!K26+'5000 и 5001 ПО'!K26</f>
        <v>0</v>
      </c>
      <c r="L26" s="48">
        <f>'5000 и 5001 ДВН'!L26+'5000 и 5001 ПО'!L26</f>
        <v>0</v>
      </c>
      <c r="M26" s="48">
        <f>'5000 и 5001 ДВН'!M26+'5000 и 5001 ПО'!M26</f>
        <v>0</v>
      </c>
      <c r="N26" s="49">
        <f>'5000 и 5001 ДВН'!N26+'5000 и 5001 ПО'!N26</f>
        <v>0</v>
      </c>
      <c r="S26"/>
    </row>
    <row r="27" spans="2:19" s="5" customFormat="1" ht="16.5" thickBot="1" x14ac:dyDescent="0.3">
      <c r="B27" s="66" t="s">
        <v>199</v>
      </c>
      <c r="C27" s="67" t="s">
        <v>260</v>
      </c>
      <c r="D27" s="847" t="s">
        <v>200</v>
      </c>
      <c r="E27" s="87">
        <f>'5000 и 5001 ДВН'!E27+'5000 и 5001 ПО'!E27</f>
        <v>6</v>
      </c>
      <c r="F27" s="48">
        <f>'5000 и 5001 ДВН'!F27+'5000 и 5001 ПО'!F27</f>
        <v>6</v>
      </c>
      <c r="G27" s="48">
        <f>'5000 и 5001 ДВН'!G27+'5000 и 5001 ПО'!G27</f>
        <v>2</v>
      </c>
      <c r="H27" s="48">
        <f>'5000 и 5001 ДВН'!H27+'5000 и 5001 ПО'!H27</f>
        <v>4</v>
      </c>
      <c r="I27" s="88">
        <f>'5000 и 5001 ДВН'!I27+'5000 и 5001 ПО'!I27</f>
        <v>0</v>
      </c>
      <c r="J27" s="88">
        <f>'5000 и 5001 ДВН'!J27+'5000 и 5001 ПО'!J27</f>
        <v>0</v>
      </c>
      <c r="K27" s="48">
        <f>'5000 и 5001 ДВН'!K27+'5000 и 5001 ПО'!K27</f>
        <v>0</v>
      </c>
      <c r="L27" s="48">
        <f>'5000 и 5001 ДВН'!L27+'5000 и 5001 ПО'!L27</f>
        <v>0</v>
      </c>
      <c r="M27" s="48">
        <f>'5000 и 5001 ДВН'!M27+'5000 и 5001 ПО'!M27</f>
        <v>0</v>
      </c>
      <c r="N27" s="49">
        <f>'5000 и 5001 ДВН'!N27+'5000 и 5001 ПО'!N27</f>
        <v>0</v>
      </c>
      <c r="S27"/>
    </row>
    <row r="28" spans="2:19" s="5" customFormat="1" ht="16.5" thickBot="1" x14ac:dyDescent="0.3">
      <c r="B28" s="66" t="s">
        <v>201</v>
      </c>
      <c r="C28" s="67" t="s">
        <v>261</v>
      </c>
      <c r="D28" s="848"/>
      <c r="E28" s="87">
        <f>'5000 и 5001 ДВН'!E28+'5000 и 5001 ПО'!E28</f>
        <v>3</v>
      </c>
      <c r="F28" s="48">
        <f>'5000 и 5001 ДВН'!F28+'5000 и 5001 ПО'!F28</f>
        <v>3</v>
      </c>
      <c r="G28" s="48">
        <f>'5000 и 5001 ДВН'!G28+'5000 и 5001 ПО'!G28</f>
        <v>1</v>
      </c>
      <c r="H28" s="48">
        <f>'5000 и 5001 ДВН'!H28+'5000 и 5001 ПО'!H28</f>
        <v>2</v>
      </c>
      <c r="I28" s="88">
        <f>'5000 и 5001 ДВН'!I28+'5000 и 5001 ПО'!I28</f>
        <v>0</v>
      </c>
      <c r="J28" s="88">
        <f>'5000 и 5001 ДВН'!J28+'5000 и 5001 ПО'!J28</f>
        <v>0</v>
      </c>
      <c r="K28" s="48">
        <f>'5000 и 5001 ДВН'!K28+'5000 и 5001 ПО'!K28</f>
        <v>0</v>
      </c>
      <c r="L28" s="48">
        <f>'5000 и 5001 ДВН'!L28+'5000 и 5001 ПО'!L28</f>
        <v>0</v>
      </c>
      <c r="M28" s="48">
        <f>'5000 и 5001 ДВН'!M28+'5000 и 5001 ПО'!M28</f>
        <v>0</v>
      </c>
      <c r="N28" s="49">
        <f>'5000 и 5001 ДВН'!N28+'5000 и 5001 ПО'!N28</f>
        <v>0</v>
      </c>
      <c r="S28"/>
    </row>
    <row r="29" spans="2:19" s="5" customFormat="1" ht="16.5" thickBot="1" x14ac:dyDescent="0.3">
      <c r="B29" s="66" t="s">
        <v>202</v>
      </c>
      <c r="C29" s="67" t="s">
        <v>262</v>
      </c>
      <c r="D29" s="865"/>
      <c r="E29" s="87">
        <f>'5000 и 5001 ДВН'!E29+'5000 и 5001 ПО'!E29</f>
        <v>3</v>
      </c>
      <c r="F29" s="48">
        <f>'5000 и 5001 ДВН'!F29+'5000 и 5001 ПО'!F29</f>
        <v>3</v>
      </c>
      <c r="G29" s="48">
        <f>'5000 и 5001 ДВН'!G29+'5000 и 5001 ПО'!G29</f>
        <v>1</v>
      </c>
      <c r="H29" s="48">
        <f>'5000 и 5001 ДВН'!H29+'5000 и 5001 ПО'!H29</f>
        <v>2</v>
      </c>
      <c r="I29" s="88">
        <f>'5000 и 5001 ДВН'!I29+'5000 и 5001 ПО'!I29</f>
        <v>0</v>
      </c>
      <c r="J29" s="88">
        <f>'5000 и 5001 ДВН'!J29+'5000 и 5001 ПО'!J29</f>
        <v>0</v>
      </c>
      <c r="K29" s="48">
        <f>'5000 и 5001 ДВН'!K29+'5000 и 5001 ПО'!K29</f>
        <v>0</v>
      </c>
      <c r="L29" s="48">
        <f>'5000 и 5001 ДВН'!L29+'5000 и 5001 ПО'!L29</f>
        <v>0</v>
      </c>
      <c r="M29" s="48">
        <f>'5000 и 5001 ДВН'!M29+'5000 и 5001 ПО'!M29</f>
        <v>0</v>
      </c>
      <c r="N29" s="49">
        <f>'5000 и 5001 ДВН'!N29+'5000 и 5001 ПО'!N29</f>
        <v>0</v>
      </c>
      <c r="S29"/>
    </row>
    <row r="30" spans="2:19" s="5" customFormat="1" ht="16.5" thickBot="1" x14ac:dyDescent="0.3">
      <c r="B30" s="66" t="s">
        <v>203</v>
      </c>
      <c r="C30" s="67" t="s">
        <v>263</v>
      </c>
      <c r="D30" s="847" t="s">
        <v>204</v>
      </c>
      <c r="E30" s="87">
        <f>'5000 и 5001 ДВН'!E30+'5000 и 5001 ПО'!E30</f>
        <v>0</v>
      </c>
      <c r="F30" s="48">
        <f>'5000 и 5001 ДВН'!F30+'5000 и 5001 ПО'!F30</f>
        <v>0</v>
      </c>
      <c r="G30" s="48">
        <f>'5000 и 5001 ДВН'!G30+'5000 и 5001 ПО'!G30</f>
        <v>0</v>
      </c>
      <c r="H30" s="48">
        <f>'5000 и 5001 ДВН'!H30+'5000 и 5001 ПО'!H30</f>
        <v>0</v>
      </c>
      <c r="I30" s="88">
        <f>'5000 и 5001 ДВН'!I30+'5000 и 5001 ПО'!I30</f>
        <v>0</v>
      </c>
      <c r="J30" s="88">
        <f>'5000 и 5001 ДВН'!J30+'5000 и 5001 ПО'!J30</f>
        <v>0</v>
      </c>
      <c r="K30" s="48">
        <f>'5000 и 5001 ДВН'!K30+'5000 и 5001 ПО'!K30</f>
        <v>0</v>
      </c>
      <c r="L30" s="48">
        <f>'5000 и 5001 ДВН'!L30+'5000 и 5001 ПО'!L30</f>
        <v>0</v>
      </c>
      <c r="M30" s="48">
        <f>'5000 и 5001 ДВН'!M30+'5000 и 5001 ПО'!M30</f>
        <v>0</v>
      </c>
      <c r="N30" s="49">
        <f>'5000 и 5001 ДВН'!N30+'5000 и 5001 ПО'!N30</f>
        <v>0</v>
      </c>
      <c r="S30"/>
    </row>
    <row r="31" spans="2:19" s="5" customFormat="1" ht="16.5" thickBot="1" x14ac:dyDescent="0.3">
      <c r="B31" s="66" t="s">
        <v>201</v>
      </c>
      <c r="C31" s="67" t="s">
        <v>264</v>
      </c>
      <c r="D31" s="848"/>
      <c r="E31" s="87">
        <f>'5000 и 5001 ДВН'!E31+'5000 и 5001 ПО'!E31</f>
        <v>0</v>
      </c>
      <c r="F31" s="48">
        <f>'5000 и 5001 ДВН'!F31+'5000 и 5001 ПО'!F31</f>
        <v>0</v>
      </c>
      <c r="G31" s="48">
        <f>'5000 и 5001 ДВН'!G31+'5000 и 5001 ПО'!G31</f>
        <v>0</v>
      </c>
      <c r="H31" s="48">
        <f>'5000 и 5001 ДВН'!H31+'5000 и 5001 ПО'!H31</f>
        <v>0</v>
      </c>
      <c r="I31" s="88">
        <f>'5000 и 5001 ДВН'!I31+'5000 и 5001 ПО'!I31</f>
        <v>0</v>
      </c>
      <c r="J31" s="88">
        <f>'5000 и 5001 ДВН'!J31+'5000 и 5001 ПО'!J31</f>
        <v>0</v>
      </c>
      <c r="K31" s="48">
        <f>'5000 и 5001 ДВН'!K31+'5000 и 5001 ПО'!K31</f>
        <v>0</v>
      </c>
      <c r="L31" s="48">
        <f>'5000 и 5001 ДВН'!L31+'5000 и 5001 ПО'!L31</f>
        <v>0</v>
      </c>
      <c r="M31" s="48">
        <f>'5000 и 5001 ДВН'!M31+'5000 и 5001 ПО'!M31</f>
        <v>0</v>
      </c>
      <c r="N31" s="49">
        <f>'5000 и 5001 ДВН'!N31+'5000 и 5001 ПО'!N31</f>
        <v>0</v>
      </c>
      <c r="S31"/>
    </row>
    <row r="32" spans="2:19" s="5" customFormat="1" ht="16.5" thickBot="1" x14ac:dyDescent="0.3">
      <c r="B32" s="66" t="s">
        <v>202</v>
      </c>
      <c r="C32" s="67" t="s">
        <v>265</v>
      </c>
      <c r="D32" s="865"/>
      <c r="E32" s="87">
        <f>'5000 и 5001 ДВН'!E32+'5000 и 5001 ПО'!E32</f>
        <v>0</v>
      </c>
      <c r="F32" s="48">
        <f>'5000 и 5001 ДВН'!F32+'5000 и 5001 ПО'!F32</f>
        <v>0</v>
      </c>
      <c r="G32" s="48">
        <f>'5000 и 5001 ДВН'!G32+'5000 и 5001 ПО'!G32</f>
        <v>0</v>
      </c>
      <c r="H32" s="48">
        <f>'5000 и 5001 ДВН'!H32+'5000 и 5001 ПО'!H32</f>
        <v>0</v>
      </c>
      <c r="I32" s="88">
        <f>'5000 и 5001 ДВН'!I32+'5000 и 5001 ПО'!I32</f>
        <v>0</v>
      </c>
      <c r="J32" s="88">
        <f>'5000 и 5001 ДВН'!J32+'5000 и 5001 ПО'!J32</f>
        <v>0</v>
      </c>
      <c r="K32" s="48">
        <f>'5000 и 5001 ДВН'!K32+'5000 и 5001 ПО'!K32</f>
        <v>0</v>
      </c>
      <c r="L32" s="48">
        <f>'5000 и 5001 ДВН'!L32+'5000 и 5001 ПО'!L32</f>
        <v>0</v>
      </c>
      <c r="M32" s="48">
        <f>'5000 и 5001 ДВН'!M32+'5000 и 5001 ПО'!M32</f>
        <v>0</v>
      </c>
      <c r="N32" s="49">
        <f>'5000 и 5001 ДВН'!N32+'5000 и 5001 ПО'!N32</f>
        <v>0</v>
      </c>
      <c r="S32"/>
    </row>
    <row r="33" spans="2:27" s="5" customFormat="1" ht="16.5" thickBot="1" x14ac:dyDescent="0.3">
      <c r="B33" s="66" t="s">
        <v>205</v>
      </c>
      <c r="C33" s="67" t="s">
        <v>266</v>
      </c>
      <c r="D33" s="847" t="s">
        <v>206</v>
      </c>
      <c r="E33" s="87">
        <f>'5000 и 5001 ДВН'!E33+'5000 и 5001 ПО'!E33</f>
        <v>1</v>
      </c>
      <c r="F33" s="48">
        <f>'5000 и 5001 ДВН'!F33+'5000 и 5001 ПО'!F33</f>
        <v>1</v>
      </c>
      <c r="G33" s="48">
        <f>'5000 и 5001 ДВН'!G33+'5000 и 5001 ПО'!G33</f>
        <v>0</v>
      </c>
      <c r="H33" s="48">
        <f>'5000 и 5001 ДВН'!H33+'5000 и 5001 ПО'!H33</f>
        <v>1</v>
      </c>
      <c r="I33" s="88">
        <f>'5000 и 5001 ДВН'!I33+'5000 и 5001 ПО'!I33</f>
        <v>0</v>
      </c>
      <c r="J33" s="88">
        <f>'5000 и 5001 ДВН'!J33+'5000 и 5001 ПО'!J33</f>
        <v>0</v>
      </c>
      <c r="K33" s="48">
        <f>'5000 и 5001 ДВН'!K33+'5000 и 5001 ПО'!K33</f>
        <v>0</v>
      </c>
      <c r="L33" s="48">
        <f>'5000 и 5001 ДВН'!L33+'5000 и 5001 ПО'!L33</f>
        <v>0</v>
      </c>
      <c r="M33" s="48">
        <f>'5000 и 5001 ДВН'!M33+'5000 и 5001 ПО'!M33</f>
        <v>0</v>
      </c>
      <c r="N33" s="49">
        <f>'5000 и 5001 ДВН'!N33+'5000 и 5001 ПО'!N33</f>
        <v>0</v>
      </c>
      <c r="S33"/>
    </row>
    <row r="34" spans="2:27" s="5" customFormat="1" ht="16.5" thickBot="1" x14ac:dyDescent="0.3">
      <c r="B34" s="68" t="s">
        <v>182</v>
      </c>
      <c r="C34" s="67" t="s">
        <v>470</v>
      </c>
      <c r="D34" s="865"/>
      <c r="E34" s="87">
        <f>'5000 и 5001 ДВН'!E34+'5000 и 5001 ПО'!E34</f>
        <v>1</v>
      </c>
      <c r="F34" s="51">
        <f>'5000 и 5001 ДВН'!F34+'5000 и 5001 ПО'!F34</f>
        <v>1</v>
      </c>
      <c r="G34" s="51">
        <f>'5000 и 5001 ДВН'!G34+'5000 и 5001 ПО'!G34</f>
        <v>0</v>
      </c>
      <c r="H34" s="51">
        <f>'5000 и 5001 ДВН'!H34+'5000 и 5001 ПО'!H34</f>
        <v>1</v>
      </c>
      <c r="I34" s="89">
        <f>'5000 и 5001 ДВН'!I34+'5000 и 5001 ПО'!I34</f>
        <v>0</v>
      </c>
      <c r="J34" s="89">
        <f>'5000 и 5001 ДВН'!J34+'5000 и 5001 ПО'!J34</f>
        <v>0</v>
      </c>
      <c r="K34" s="51">
        <f>'5000 и 5001 ДВН'!K34+'5000 и 5001 ПО'!K34</f>
        <v>0</v>
      </c>
      <c r="L34" s="51">
        <f>'5000 и 5001 ДВН'!L34+'5000 и 5001 ПО'!L34</f>
        <v>0</v>
      </c>
      <c r="M34" s="51">
        <f>'5000 и 5001 ДВН'!M34+'5000 и 5001 ПО'!M34</f>
        <v>0</v>
      </c>
      <c r="N34" s="52">
        <f>'5000 и 5001 ДВН'!N34+'5000 и 5001 ПО'!N34</f>
        <v>0</v>
      </c>
      <c r="S34"/>
    </row>
    <row r="35" spans="2:27" ht="48" thickBot="1" x14ac:dyDescent="0.3">
      <c r="B35" s="72" t="s">
        <v>339</v>
      </c>
      <c r="C35" s="67" t="s">
        <v>340</v>
      </c>
      <c r="D35" s="73" t="s">
        <v>341</v>
      </c>
      <c r="E35" s="87">
        <f>'5000 и 5001 ДВН'!E35+'5000 и 5001 ПО'!E35</f>
        <v>2</v>
      </c>
      <c r="F35" s="48">
        <f>'5000 и 5001 ДВН'!F35+'5000 и 5001 ПО'!F35</f>
        <v>2</v>
      </c>
      <c r="G35" s="48">
        <f>'5000 и 5001 ДВН'!G35+'5000 и 5001 ПО'!G35</f>
        <v>2</v>
      </c>
      <c r="H35" s="48">
        <f>'5000 и 5001 ДВН'!H35+'5000 и 5001 ПО'!H35</f>
        <v>0</v>
      </c>
      <c r="I35" s="88">
        <f>'5000 и 5001 ДВН'!I35+'5000 и 5001 ПО'!I35</f>
        <v>0</v>
      </c>
      <c r="J35" s="88">
        <f>'5000 и 5001 ДВН'!J35+'5000 и 5001 ПО'!J35</f>
        <v>0</v>
      </c>
      <c r="K35" s="48">
        <f>'5000 и 5001 ДВН'!K35+'5000 и 5001 ПО'!K35</f>
        <v>0</v>
      </c>
      <c r="L35" s="48">
        <f>'5000 и 5001 ДВН'!L35+'5000 и 5001 ПО'!L35</f>
        <v>0</v>
      </c>
      <c r="M35" s="48">
        <f>'5000 и 5001 ДВН'!M35+'5000 и 5001 ПО'!M35</f>
        <v>0</v>
      </c>
      <c r="N35" s="49">
        <f>'5000 и 5001 ДВН'!N35+'5000 и 5001 ПО'!N35</f>
        <v>0</v>
      </c>
      <c r="O35" s="417" t="str">
        <f>IF(Q35&gt;0,"стр.3 &lt; стр.3.1 по графе "&amp;P35,"ОК")</f>
        <v>ОК</v>
      </c>
      <c r="P35" s="266" t="str">
        <f>IF(Q35&gt;0,INDEX($F$6:$N$6,1,Q35),CHAR(151))</f>
        <v>—</v>
      </c>
      <c r="Q35" s="416">
        <f>IF(ISERROR(MATCH(FALSE,S35:AA35,0)),0,MATCH(FALSE,S35:AA35,0))</f>
        <v>0</v>
      </c>
      <c r="R35" s="419" t="s">
        <v>792</v>
      </c>
      <c r="S35" s="47" t="b">
        <f>F35&gt;=F36</f>
        <v>1</v>
      </c>
      <c r="T35" s="47" t="b">
        <f t="shared" ref="T35:AA35" si="2">G35&gt;=G36</f>
        <v>1</v>
      </c>
      <c r="U35" s="47" t="b">
        <f t="shared" si="2"/>
        <v>1</v>
      </c>
      <c r="V35" s="47" t="b">
        <f t="shared" si="2"/>
        <v>1</v>
      </c>
      <c r="W35" s="47" t="b">
        <f t="shared" si="2"/>
        <v>1</v>
      </c>
      <c r="X35" s="47" t="b">
        <f t="shared" si="2"/>
        <v>1</v>
      </c>
      <c r="Y35" s="47" t="b">
        <f t="shared" si="2"/>
        <v>1</v>
      </c>
      <c r="Z35" s="47" t="b">
        <f t="shared" si="2"/>
        <v>1</v>
      </c>
      <c r="AA35" s="47" t="b">
        <f t="shared" si="2"/>
        <v>1</v>
      </c>
    </row>
    <row r="36" spans="2:27" ht="48" thickBot="1" x14ac:dyDescent="0.3">
      <c r="B36" s="58" t="s">
        <v>342</v>
      </c>
      <c r="C36" s="67" t="s">
        <v>267</v>
      </c>
      <c r="D36" s="74" t="s">
        <v>343</v>
      </c>
      <c r="E36" s="87">
        <f>'5000 и 5001 ДВН'!E36+'5000 и 5001 ПО'!E36</f>
        <v>2</v>
      </c>
      <c r="F36" s="50">
        <f>'5000 и 5001 ДВН'!F36+'5000 и 5001 ПО'!F36</f>
        <v>2</v>
      </c>
      <c r="G36" s="50">
        <f>'5000 и 5001 ДВН'!G36+'5000 и 5001 ПО'!G36</f>
        <v>2</v>
      </c>
      <c r="H36" s="50">
        <f>'5000 и 5001 ДВН'!H36+'5000 и 5001 ПО'!H36</f>
        <v>0</v>
      </c>
      <c r="I36" s="87">
        <f>'5000 и 5001 ДВН'!I36+'5000 и 5001 ПО'!I36</f>
        <v>0</v>
      </c>
      <c r="J36" s="87">
        <f>'5000 и 5001 ДВН'!J36+'5000 и 5001 ПО'!J36</f>
        <v>0</v>
      </c>
      <c r="K36" s="50">
        <f>'5000 и 5001 ДВН'!K36+'5000 и 5001 ПО'!K36</f>
        <v>0</v>
      </c>
      <c r="L36" s="50">
        <f>'5000 и 5001 ДВН'!L36+'5000 и 5001 ПО'!L36</f>
        <v>0</v>
      </c>
      <c r="M36" s="50">
        <f>'5000 и 5001 ДВН'!M36+'5000 и 5001 ПО'!M36</f>
        <v>0</v>
      </c>
      <c r="N36" s="50">
        <f>'5000 и 5001 ДВН'!N36+'5000 и 5001 ПО'!N36</f>
        <v>0</v>
      </c>
    </row>
    <row r="37" spans="2:27" ht="48" thickBot="1" x14ac:dyDescent="0.3">
      <c r="B37" s="61" t="s">
        <v>344</v>
      </c>
      <c r="C37" s="67" t="s">
        <v>345</v>
      </c>
      <c r="D37" s="73" t="s">
        <v>346</v>
      </c>
      <c r="E37" s="87">
        <f>'5000 и 5001 ДВН'!E37+'5000 и 5001 ПО'!E37</f>
        <v>328</v>
      </c>
      <c r="F37" s="48">
        <f>'5000 и 5001 ДВН'!F37+'5000 и 5001 ПО'!F37</f>
        <v>92</v>
      </c>
      <c r="G37" s="48">
        <f>'5000 и 5001 ДВН'!G37+'5000 и 5001 ПО'!G37</f>
        <v>154</v>
      </c>
      <c r="H37" s="48">
        <f>'5000 и 5001 ДВН'!H37+'5000 и 5001 ПО'!H37</f>
        <v>174</v>
      </c>
      <c r="I37" s="88">
        <f>'5000 и 5001 ДВН'!I37+'5000 и 5001 ПО'!I37</f>
        <v>2</v>
      </c>
      <c r="J37" s="88">
        <f>'5000 и 5001 ДВН'!J37+'5000 и 5001 ПО'!J37</f>
        <v>2</v>
      </c>
      <c r="K37" s="48">
        <f>'5000 и 5001 ДВН'!K37+'5000 и 5001 ПО'!K37</f>
        <v>2</v>
      </c>
      <c r="L37" s="48">
        <f>'5000 и 5001 ДВН'!L37+'5000 и 5001 ПО'!L37</f>
        <v>2</v>
      </c>
      <c r="M37" s="48">
        <f>'5000 и 5001 ДВН'!M37+'5000 и 5001 ПО'!M37</f>
        <v>0</v>
      </c>
      <c r="N37" s="49">
        <f>'5000 и 5001 ДВН'!N37+'5000 и 5001 ПО'!N37</f>
        <v>0</v>
      </c>
      <c r="O37" s="417" t="str">
        <f>IF(Q37&gt;0,"стр.4 &lt; суммы строк(4.1+4.3+4.4) по графе "&amp;P37,"ОК")</f>
        <v>ОК</v>
      </c>
      <c r="P37" s="266" t="str">
        <f>IF(Q37&gt;0,INDEX($F$6:$N$6,1,Q37),CHAR(151))</f>
        <v>—</v>
      </c>
      <c r="Q37" s="416">
        <f>IF(ISERROR(MATCH(FALSE,S37:AA37,0)),0,MATCH(FALSE,S37:AA37,0))</f>
        <v>0</v>
      </c>
      <c r="R37" s="419" t="s">
        <v>793</v>
      </c>
      <c r="S37" s="47" t="b">
        <f>F37&gt;=SUM(F38,F40:F41)</f>
        <v>1</v>
      </c>
      <c r="T37" s="47" t="b">
        <f t="shared" ref="T37:AA37" si="3">G37&gt;=SUM(G38,G40:G41)</f>
        <v>1</v>
      </c>
      <c r="U37" s="47" t="b">
        <f t="shared" si="3"/>
        <v>1</v>
      </c>
      <c r="V37" s="47" t="b">
        <f t="shared" si="3"/>
        <v>1</v>
      </c>
      <c r="W37" s="47" t="b">
        <f t="shared" si="3"/>
        <v>1</v>
      </c>
      <c r="X37" s="47" t="b">
        <f t="shared" si="3"/>
        <v>1</v>
      </c>
      <c r="Y37" s="47" t="b">
        <f t="shared" si="3"/>
        <v>1</v>
      </c>
      <c r="Z37" s="47" t="b">
        <f t="shared" si="3"/>
        <v>1</v>
      </c>
      <c r="AA37" s="47" t="b">
        <f t="shared" si="3"/>
        <v>1</v>
      </c>
    </row>
    <row r="38" spans="2:27" s="5" customFormat="1" ht="16.5" thickBot="1" x14ac:dyDescent="0.3">
      <c r="B38" s="66" t="s">
        <v>207</v>
      </c>
      <c r="C38" s="67" t="s">
        <v>471</v>
      </c>
      <c r="D38" s="70" t="s">
        <v>208</v>
      </c>
      <c r="E38" s="87">
        <f>'5000 и 5001 ДВН'!E38+'5000 и 5001 ПО'!E38</f>
        <v>69</v>
      </c>
      <c r="F38" s="48">
        <f>'5000 и 5001 ДВН'!F38+'5000 и 5001 ПО'!F38</f>
        <v>69</v>
      </c>
      <c r="G38" s="48">
        <f>'5000 и 5001 ДВН'!G38+'5000 и 5001 ПО'!G38</f>
        <v>17</v>
      </c>
      <c r="H38" s="48">
        <f>'5000 и 5001 ДВН'!H38+'5000 и 5001 ПО'!H38</f>
        <v>52</v>
      </c>
      <c r="I38" s="88">
        <f>'5000 и 5001 ДВН'!I38+'5000 и 5001 ПО'!I38</f>
        <v>2</v>
      </c>
      <c r="J38" s="88">
        <f>'5000 и 5001 ДВН'!J38+'5000 и 5001 ПО'!J38</f>
        <v>2</v>
      </c>
      <c r="K38" s="48">
        <f>'5000 и 5001 ДВН'!K38+'5000 и 5001 ПО'!K38</f>
        <v>2</v>
      </c>
      <c r="L38" s="48">
        <f>'5000 и 5001 ДВН'!L38+'5000 и 5001 ПО'!L38</f>
        <v>2</v>
      </c>
      <c r="M38" s="48">
        <f>'5000 и 5001 ДВН'!M38+'5000 и 5001 ПО'!M38</f>
        <v>0</v>
      </c>
      <c r="N38" s="49">
        <f>'5000 и 5001 ДВН'!N38+'5000 и 5001 ПО'!N38</f>
        <v>0</v>
      </c>
      <c r="S38"/>
    </row>
    <row r="39" spans="2:27" s="5" customFormat="1" ht="32.25" thickBot="1" x14ac:dyDescent="0.3">
      <c r="B39" s="66" t="s">
        <v>209</v>
      </c>
      <c r="C39" s="67" t="s">
        <v>348</v>
      </c>
      <c r="D39" s="39" t="s">
        <v>210</v>
      </c>
      <c r="E39" s="87">
        <f>'5000 и 5001 ДВН'!E39+'5000 и 5001 ПО'!E39</f>
        <v>69</v>
      </c>
      <c r="F39" s="48">
        <f>'5000 и 5001 ДВН'!F39+'5000 и 5001 ПО'!F39</f>
        <v>69</v>
      </c>
      <c r="G39" s="48">
        <f>'5000 и 5001 ДВН'!G39+'5000 и 5001 ПО'!G39</f>
        <v>17</v>
      </c>
      <c r="H39" s="48">
        <f>'5000 и 5001 ДВН'!H39+'5000 и 5001 ПО'!H39</f>
        <v>52</v>
      </c>
      <c r="I39" s="88">
        <f>'5000 и 5001 ДВН'!I39+'5000 и 5001 ПО'!I39</f>
        <v>2</v>
      </c>
      <c r="J39" s="88">
        <f>'5000 и 5001 ДВН'!J39+'5000 и 5001 ПО'!J39</f>
        <v>2</v>
      </c>
      <c r="K39" s="48">
        <f>'5000 и 5001 ДВН'!K39+'5000 и 5001 ПО'!K39</f>
        <v>2</v>
      </c>
      <c r="L39" s="48">
        <f>'5000 и 5001 ДВН'!L39+'5000 и 5001 ПО'!L39</f>
        <v>2</v>
      </c>
      <c r="M39" s="48">
        <f>'5000 и 5001 ДВН'!M39+'5000 и 5001 ПО'!M39</f>
        <v>0</v>
      </c>
      <c r="N39" s="49">
        <f>'5000 и 5001 ДВН'!N39+'5000 и 5001 ПО'!N39</f>
        <v>0</v>
      </c>
      <c r="S39"/>
    </row>
    <row r="40" spans="2:27" ht="16.5" thickBot="1" x14ac:dyDescent="0.3">
      <c r="B40" s="75" t="s">
        <v>347</v>
      </c>
      <c r="C40" s="67" t="s">
        <v>351</v>
      </c>
      <c r="D40" s="76" t="s">
        <v>349</v>
      </c>
      <c r="E40" s="87">
        <f>'5000 и 5001 ДВН'!E40+'5000 и 5001 ПО'!E40</f>
        <v>236</v>
      </c>
      <c r="F40" s="50">
        <f>'5000 и 5001 ДВН'!F40+'5000 и 5001 ПО'!F40</f>
        <v>0</v>
      </c>
      <c r="G40" s="50">
        <f>'5000 и 5001 ДВН'!G40+'5000 и 5001 ПО'!G40</f>
        <v>131</v>
      </c>
      <c r="H40" s="50">
        <f>'5000 и 5001 ДВН'!H40+'5000 и 5001 ПО'!H40</f>
        <v>105</v>
      </c>
      <c r="I40" s="87">
        <f>'5000 и 5001 ДВН'!I40+'5000 и 5001 ПО'!I40</f>
        <v>0</v>
      </c>
      <c r="J40" s="87">
        <f>'5000 и 5001 ДВН'!J40+'5000 и 5001 ПО'!J40</f>
        <v>0</v>
      </c>
      <c r="K40" s="50">
        <f>'5000 и 5001 ДВН'!K40+'5000 и 5001 ПО'!K40</f>
        <v>0</v>
      </c>
      <c r="L40" s="50">
        <f>'5000 и 5001 ДВН'!L40+'5000 и 5001 ПО'!L40</f>
        <v>0</v>
      </c>
      <c r="M40" s="50">
        <f>'5000 и 5001 ДВН'!M40+'5000 и 5001 ПО'!M40</f>
        <v>0</v>
      </c>
      <c r="N40" s="50">
        <f>'5000 и 5001 ДВН'!N40+'5000 и 5001 ПО'!N40</f>
        <v>0</v>
      </c>
    </row>
    <row r="41" spans="2:27" ht="32.25" thickBot="1" x14ac:dyDescent="0.3">
      <c r="B41" s="58" t="s">
        <v>350</v>
      </c>
      <c r="C41" s="67" t="s">
        <v>472</v>
      </c>
      <c r="D41" s="74" t="s">
        <v>129</v>
      </c>
      <c r="E41" s="87">
        <f>'5000 и 5001 ДВН'!E41+'5000 и 5001 ПО'!E41</f>
        <v>9</v>
      </c>
      <c r="F41" s="50">
        <f>'5000 и 5001 ДВН'!F41+'5000 и 5001 ПО'!F41</f>
        <v>0</v>
      </c>
      <c r="G41" s="50">
        <f>'5000 и 5001 ДВН'!G41+'5000 и 5001 ПО'!G41</f>
        <v>3</v>
      </c>
      <c r="H41" s="50">
        <f>'5000 и 5001 ДВН'!H41+'5000 и 5001 ПО'!H41</f>
        <v>6</v>
      </c>
      <c r="I41" s="87">
        <f>'5000 и 5001 ДВН'!I41+'5000 и 5001 ПО'!I41</f>
        <v>0</v>
      </c>
      <c r="J41" s="87">
        <f>'5000 и 5001 ДВН'!J41+'5000 и 5001 ПО'!J41</f>
        <v>0</v>
      </c>
      <c r="K41" s="50">
        <f>'5000 и 5001 ДВН'!K41+'5000 и 5001 ПО'!K41</f>
        <v>0</v>
      </c>
      <c r="L41" s="50">
        <f>'5000 и 5001 ДВН'!L41+'5000 и 5001 ПО'!L41</f>
        <v>0</v>
      </c>
      <c r="M41" s="50">
        <f>'5000 и 5001 ДВН'!M41+'5000 и 5001 ПО'!M41</f>
        <v>0</v>
      </c>
      <c r="N41" s="50">
        <f>'5000 и 5001 ДВН'!N41+'5000 и 5001 ПО'!N41</f>
        <v>0</v>
      </c>
    </row>
    <row r="42" spans="2:27" ht="30.75" thickBot="1" x14ac:dyDescent="0.3">
      <c r="B42" s="61" t="s">
        <v>352</v>
      </c>
      <c r="C42" s="67" t="s">
        <v>353</v>
      </c>
      <c r="D42" s="73" t="s">
        <v>354</v>
      </c>
      <c r="E42" s="87">
        <f>'5000 и 5001 ДВН'!E42+'5000 и 5001 ПО'!E42</f>
        <v>200</v>
      </c>
      <c r="F42" s="48">
        <f>'5000 и 5001 ДВН'!F42+'5000 и 5001 ПО'!F42</f>
        <v>28</v>
      </c>
      <c r="G42" s="48">
        <f>'5000 и 5001 ДВН'!G42+'5000 и 5001 ПО'!G42</f>
        <v>106</v>
      </c>
      <c r="H42" s="48">
        <f>'5000 и 5001 ДВН'!H42+'5000 и 5001 ПО'!H42</f>
        <v>94</v>
      </c>
      <c r="I42" s="88">
        <f>'5000 и 5001 ДВН'!I42+'5000 и 5001 ПО'!I42</f>
        <v>0</v>
      </c>
      <c r="J42" s="88">
        <f>'5000 и 5001 ДВН'!J42+'5000 и 5001 ПО'!J42</f>
        <v>0</v>
      </c>
      <c r="K42" s="48">
        <f>'5000 и 5001 ДВН'!K42+'5000 и 5001 ПО'!K42</f>
        <v>0</v>
      </c>
      <c r="L42" s="48">
        <f>'5000 и 5001 ДВН'!L42+'5000 и 5001 ПО'!L42</f>
        <v>0</v>
      </c>
      <c r="M42" s="48">
        <f>'5000 и 5001 ДВН'!M42+'5000 и 5001 ПО'!M42</f>
        <v>0</v>
      </c>
      <c r="N42" s="49">
        <f>'5000 и 5001 ДВН'!N42+'5000 и 5001 ПО'!N42</f>
        <v>0</v>
      </c>
      <c r="O42" s="417" t="str">
        <f>IF(Q42&gt;0,"стр.5 &lt; стр.5.1 по графе "&amp;P42,"ОК")</f>
        <v>ОК</v>
      </c>
      <c r="P42" s="266" t="str">
        <f>IF(Q42&gt;0,INDEX($F$6:$N$6,1,Q42),CHAR(151))</f>
        <v>—</v>
      </c>
      <c r="Q42" s="416">
        <f>IF(ISERROR(MATCH(FALSE,S42:AA42,0)),0,MATCH(FALSE,S42:AA42,0))</f>
        <v>0</v>
      </c>
      <c r="R42" s="419" t="s">
        <v>794</v>
      </c>
      <c r="S42" s="47" t="b">
        <f>F42&gt;=F43</f>
        <v>1</v>
      </c>
      <c r="T42" s="47" t="b">
        <f t="shared" ref="T42:AA42" si="4">G42&gt;=G43</f>
        <v>1</v>
      </c>
      <c r="U42" s="47" t="b">
        <f t="shared" si="4"/>
        <v>1</v>
      </c>
      <c r="V42" s="47" t="b">
        <f t="shared" si="4"/>
        <v>1</v>
      </c>
      <c r="W42" s="47" t="b">
        <f t="shared" si="4"/>
        <v>1</v>
      </c>
      <c r="X42" s="47" t="b">
        <f t="shared" si="4"/>
        <v>1</v>
      </c>
      <c r="Y42" s="47" t="b">
        <f t="shared" si="4"/>
        <v>1</v>
      </c>
      <c r="Z42" s="47" t="b">
        <f t="shared" si="4"/>
        <v>1</v>
      </c>
      <c r="AA42" s="47" t="b">
        <f t="shared" si="4"/>
        <v>1</v>
      </c>
    </row>
    <row r="43" spans="2:27" s="5" customFormat="1" ht="48" thickBot="1" x14ac:dyDescent="0.3">
      <c r="B43" s="66" t="s">
        <v>211</v>
      </c>
      <c r="C43" s="67" t="s">
        <v>473</v>
      </c>
      <c r="D43" s="39" t="s">
        <v>212</v>
      </c>
      <c r="E43" s="87">
        <f>'5000 и 5001 ДВН'!E43+'5000 и 5001 ПО'!E43</f>
        <v>0</v>
      </c>
      <c r="F43" s="48">
        <f>'5000 и 5001 ДВН'!F43+'5000 и 5001 ПО'!F43</f>
        <v>0</v>
      </c>
      <c r="G43" s="48">
        <f>'5000 и 5001 ДВН'!G43+'5000 и 5001 ПО'!G43</f>
        <v>0</v>
      </c>
      <c r="H43" s="48">
        <f>'5000 и 5001 ДВН'!H43+'5000 и 5001 ПО'!H43</f>
        <v>0</v>
      </c>
      <c r="I43" s="88">
        <f>'5000 и 5001 ДВН'!I43+'5000 и 5001 ПО'!I43</f>
        <v>0</v>
      </c>
      <c r="J43" s="88">
        <f>'5000 и 5001 ДВН'!J43+'5000 и 5001 ПО'!J43</f>
        <v>0</v>
      </c>
      <c r="K43" s="48">
        <f>'5000 и 5001 ДВН'!K43+'5000 и 5001 ПО'!K43</f>
        <v>0</v>
      </c>
      <c r="L43" s="48">
        <f>'5000 и 5001 ДВН'!L43+'5000 и 5001 ПО'!L43</f>
        <v>0</v>
      </c>
      <c r="M43" s="48">
        <f>'5000 и 5001 ДВН'!M43+'5000 и 5001 ПО'!M43</f>
        <v>0</v>
      </c>
      <c r="N43" s="49">
        <f>'5000 и 5001 ДВН'!N43+'5000 и 5001 ПО'!N43</f>
        <v>0</v>
      </c>
      <c r="S43"/>
    </row>
    <row r="44" spans="2:27" ht="45.75" thickBot="1" x14ac:dyDescent="0.3">
      <c r="B44" s="61" t="s">
        <v>355</v>
      </c>
      <c r="C44" s="67" t="s">
        <v>356</v>
      </c>
      <c r="D44" s="73" t="s">
        <v>357</v>
      </c>
      <c r="E44" s="87">
        <f>'5000 и 5001 ДВН'!E44+'5000 и 5001 ПО'!E44</f>
        <v>0</v>
      </c>
      <c r="F44" s="50">
        <f>'5000 и 5001 ДВН'!F44+'5000 и 5001 ПО'!F44</f>
        <v>0</v>
      </c>
      <c r="G44" s="50">
        <f>'5000 и 5001 ДВН'!G44+'5000 и 5001 ПО'!G44</f>
        <v>0</v>
      </c>
      <c r="H44" s="50">
        <f>'5000 и 5001 ДВН'!H44+'5000 и 5001 ПО'!H44</f>
        <v>0</v>
      </c>
      <c r="I44" s="87">
        <f>'5000 и 5001 ДВН'!I44+'5000 и 5001 ПО'!I44</f>
        <v>0</v>
      </c>
      <c r="J44" s="87">
        <f>'5000 и 5001 ДВН'!J44+'5000 и 5001 ПО'!J44</f>
        <v>0</v>
      </c>
      <c r="K44" s="50">
        <f>'5000 и 5001 ДВН'!K44+'5000 и 5001 ПО'!K44</f>
        <v>0</v>
      </c>
      <c r="L44" s="50">
        <f>'5000 и 5001 ДВН'!L44+'5000 и 5001 ПО'!L44</f>
        <v>0</v>
      </c>
      <c r="M44" s="50">
        <f>'5000 и 5001 ДВН'!M44+'5000 и 5001 ПО'!M44</f>
        <v>0</v>
      </c>
      <c r="N44" s="50">
        <f>'5000 и 5001 ДВН'!N44+'5000 и 5001 ПО'!N44</f>
        <v>0</v>
      </c>
      <c r="O44" s="417" t="str">
        <f>IF(Q44&gt;0,"стр.6 &lt; суммы строк(6.1+6.2+6.3) по графе "&amp;P44,"ОК")</f>
        <v>ОК</v>
      </c>
      <c r="P44" s="266" t="str">
        <f>IF(Q44&gt;0,INDEX($F$6:$N$6,1,Q44),CHAR(151))</f>
        <v>—</v>
      </c>
      <c r="Q44" s="416">
        <f>IF(ISERROR(MATCH(FALSE,S44:AA44,0)),0,MATCH(FALSE,S44:AA44,0))</f>
        <v>0</v>
      </c>
      <c r="R44" s="419" t="s">
        <v>795</v>
      </c>
      <c r="S44" s="47" t="b">
        <f t="shared" ref="S44:AA44" si="5">F44&gt;=SUM(F45:F47)</f>
        <v>1</v>
      </c>
      <c r="T44" s="47" t="b">
        <f t="shared" si="5"/>
        <v>1</v>
      </c>
      <c r="U44" s="47" t="b">
        <f t="shared" si="5"/>
        <v>1</v>
      </c>
      <c r="V44" s="47" t="b">
        <f t="shared" si="5"/>
        <v>1</v>
      </c>
      <c r="W44" s="47" t="b">
        <f t="shared" si="5"/>
        <v>1</v>
      </c>
      <c r="X44" s="47" t="b">
        <f t="shared" si="5"/>
        <v>1</v>
      </c>
      <c r="Y44" s="47" t="b">
        <f t="shared" si="5"/>
        <v>1</v>
      </c>
      <c r="Z44" s="47" t="b">
        <f t="shared" si="5"/>
        <v>1</v>
      </c>
      <c r="AA44" s="47" t="b">
        <f t="shared" si="5"/>
        <v>1</v>
      </c>
    </row>
    <row r="45" spans="2:27" s="5" customFormat="1" ht="16.5" thickBot="1" x14ac:dyDescent="0.3">
      <c r="B45" s="66" t="s">
        <v>213</v>
      </c>
      <c r="C45" s="67" t="s">
        <v>293</v>
      </c>
      <c r="D45" s="39" t="s">
        <v>275</v>
      </c>
      <c r="E45" s="87">
        <f>'5000 и 5001 ДВН'!E45+'5000 и 5001 ПО'!E45</f>
        <v>0</v>
      </c>
      <c r="F45" s="49">
        <f>'5000 и 5001 ДВН'!F45+'5000 и 5001 ПО'!F45</f>
        <v>0</v>
      </c>
      <c r="G45" s="49">
        <f>'5000 и 5001 ДВН'!G45+'5000 и 5001 ПО'!G45</f>
        <v>0</v>
      </c>
      <c r="H45" s="49">
        <f>'5000 и 5001 ДВН'!H45+'5000 и 5001 ПО'!H45</f>
        <v>0</v>
      </c>
      <c r="I45" s="91">
        <f>'5000 и 5001 ДВН'!I45+'5000 и 5001 ПО'!I45</f>
        <v>0</v>
      </c>
      <c r="J45" s="91">
        <f>'5000 и 5001 ДВН'!J45+'5000 и 5001 ПО'!J45</f>
        <v>0</v>
      </c>
      <c r="K45" s="49">
        <f>'5000 и 5001 ДВН'!K45+'5000 и 5001 ПО'!K45</f>
        <v>0</v>
      </c>
      <c r="L45" s="49">
        <f>'5000 и 5001 ДВН'!L45+'5000 и 5001 ПО'!L45</f>
        <v>0</v>
      </c>
      <c r="M45" s="49">
        <f>'5000 и 5001 ДВН'!M45+'5000 и 5001 ПО'!M45</f>
        <v>0</v>
      </c>
      <c r="N45" s="49">
        <f>'5000 и 5001 ДВН'!N45+'5000 и 5001 ПО'!N45</f>
        <v>0</v>
      </c>
      <c r="S45"/>
    </row>
    <row r="46" spans="2:27" s="5" customFormat="1" ht="16.5" thickBot="1" x14ac:dyDescent="0.3">
      <c r="B46" s="66" t="s">
        <v>214</v>
      </c>
      <c r="C46" s="67" t="s">
        <v>294</v>
      </c>
      <c r="D46" s="39" t="s">
        <v>215</v>
      </c>
      <c r="E46" s="87">
        <f>'5000 и 5001 ДВН'!E46+'5000 и 5001 ПО'!E46</f>
        <v>0</v>
      </c>
      <c r="F46" s="48">
        <f>'5000 и 5001 ДВН'!F46+'5000 и 5001 ПО'!F46</f>
        <v>0</v>
      </c>
      <c r="G46" s="48">
        <f>'5000 и 5001 ДВН'!G46+'5000 и 5001 ПО'!G46</f>
        <v>0</v>
      </c>
      <c r="H46" s="48">
        <f>'5000 и 5001 ДВН'!H46+'5000 и 5001 ПО'!H46</f>
        <v>0</v>
      </c>
      <c r="I46" s="88">
        <f>'5000 и 5001 ДВН'!I46+'5000 и 5001 ПО'!I46</f>
        <v>0</v>
      </c>
      <c r="J46" s="88">
        <f>'5000 и 5001 ДВН'!J46+'5000 и 5001 ПО'!J46</f>
        <v>0</v>
      </c>
      <c r="K46" s="48">
        <f>'5000 и 5001 ДВН'!K46+'5000 и 5001 ПО'!K46</f>
        <v>0</v>
      </c>
      <c r="L46" s="48">
        <f>'5000 и 5001 ДВН'!L46+'5000 и 5001 ПО'!L46</f>
        <v>0</v>
      </c>
      <c r="M46" s="48">
        <f>'5000 и 5001 ДВН'!M46+'5000 и 5001 ПО'!M46</f>
        <v>0</v>
      </c>
      <c r="N46" s="49">
        <f>'5000 и 5001 ДВН'!N46+'5000 и 5001 ПО'!N46</f>
        <v>0</v>
      </c>
      <c r="S46"/>
    </row>
    <row r="47" spans="2:27" s="5" customFormat="1" ht="16.5" thickBot="1" x14ac:dyDescent="0.3">
      <c r="B47" s="66" t="s">
        <v>216</v>
      </c>
      <c r="C47" s="67" t="s">
        <v>295</v>
      </c>
      <c r="D47" s="39" t="s">
        <v>217</v>
      </c>
      <c r="E47" s="87">
        <f>'5000 и 5001 ДВН'!E47+'5000 и 5001 ПО'!E47</f>
        <v>0</v>
      </c>
      <c r="F47" s="48">
        <f>'5000 и 5001 ДВН'!F47+'5000 и 5001 ПО'!F47</f>
        <v>0</v>
      </c>
      <c r="G47" s="48">
        <f>'5000 и 5001 ДВН'!G47+'5000 и 5001 ПО'!G47</f>
        <v>0</v>
      </c>
      <c r="H47" s="48">
        <f>'5000 и 5001 ДВН'!H47+'5000 и 5001 ПО'!H47</f>
        <v>0</v>
      </c>
      <c r="I47" s="88">
        <f>'5000 и 5001 ДВН'!I47+'5000 и 5001 ПО'!I47</f>
        <v>0</v>
      </c>
      <c r="J47" s="88">
        <f>'5000 и 5001 ДВН'!J47+'5000 и 5001 ПО'!J47</f>
        <v>0</v>
      </c>
      <c r="K47" s="48">
        <f>'5000 и 5001 ДВН'!K47+'5000 и 5001 ПО'!K47</f>
        <v>0</v>
      </c>
      <c r="L47" s="48">
        <f>'5000 и 5001 ДВН'!L47+'5000 и 5001 ПО'!L47</f>
        <v>0</v>
      </c>
      <c r="M47" s="48">
        <f>'5000 и 5001 ДВН'!M47+'5000 и 5001 ПО'!M47</f>
        <v>0</v>
      </c>
      <c r="N47" s="49">
        <f>'5000 и 5001 ДВН'!N47+'5000 и 5001 ПО'!N47</f>
        <v>0</v>
      </c>
      <c r="S47"/>
    </row>
    <row r="48" spans="2:27" ht="45.75" thickBot="1" x14ac:dyDescent="0.3">
      <c r="B48" s="61" t="s">
        <v>358</v>
      </c>
      <c r="C48" s="67" t="s">
        <v>359</v>
      </c>
      <c r="D48" s="63" t="s">
        <v>360</v>
      </c>
      <c r="E48" s="87">
        <f>'5000 и 5001 ДВН'!E48+'5000 и 5001 ПО'!E48</f>
        <v>1268</v>
      </c>
      <c r="F48" s="50">
        <f>'5000 и 5001 ДВН'!F48+'5000 и 5001 ПО'!F48</f>
        <v>754</v>
      </c>
      <c r="G48" s="50">
        <f>'5000 и 5001 ДВН'!G48+'5000 и 5001 ПО'!G48</f>
        <v>314</v>
      </c>
      <c r="H48" s="50">
        <f>'5000 и 5001 ДВН'!H48+'5000 и 5001 ПО'!H48</f>
        <v>954</v>
      </c>
      <c r="I48" s="87">
        <f>'5000 и 5001 ДВН'!I48+'5000 и 5001 ПО'!I48</f>
        <v>5</v>
      </c>
      <c r="J48" s="87">
        <f>'5000 и 5001 ДВН'!J48+'5000 и 5001 ПО'!J48</f>
        <v>5</v>
      </c>
      <c r="K48" s="50">
        <f>'5000 и 5001 ДВН'!K48+'5000 и 5001 ПО'!K48</f>
        <v>5</v>
      </c>
      <c r="L48" s="50">
        <f>'5000 и 5001 ДВН'!L48+'5000 и 5001 ПО'!L48</f>
        <v>5</v>
      </c>
      <c r="M48" s="50">
        <f>'5000 и 5001 ДВН'!M48+'5000 и 5001 ПО'!M48</f>
        <v>0</v>
      </c>
      <c r="N48" s="50">
        <f>'5000 и 5001 ДВН'!N48+'5000 и 5001 ПО'!N48</f>
        <v>0</v>
      </c>
      <c r="O48" s="417" t="str">
        <f>IF(Q48&gt;0,"стр.7 &lt; суммы строк(7.1+7.2+7.4+7.6) по графе "&amp;P48,"ОК")</f>
        <v>ОК</v>
      </c>
      <c r="P48" s="266" t="str">
        <f>IF(Q48&gt;0,INDEX($F$6:$N$6,1,Q48),CHAR(151))</f>
        <v>—</v>
      </c>
      <c r="Q48" s="416">
        <f>IF(ISERROR(MATCH(FALSE,S48:AA48,0)),0,MATCH(FALSE,S48:AA48,0))</f>
        <v>0</v>
      </c>
      <c r="R48" s="419" t="s">
        <v>796</v>
      </c>
      <c r="S48" s="47" t="b">
        <f>F48&gt;=SUM(F49:F50,F55,F59)</f>
        <v>1</v>
      </c>
      <c r="T48" s="47" t="b">
        <f t="shared" ref="T48:AA48" si="6">G48&gt;=SUM(G49:G50,G55,G59)</f>
        <v>1</v>
      </c>
      <c r="U48" s="47" t="b">
        <f t="shared" si="6"/>
        <v>1</v>
      </c>
      <c r="V48" s="47" t="b">
        <f t="shared" si="6"/>
        <v>1</v>
      </c>
      <c r="W48" s="47" t="b">
        <f t="shared" si="6"/>
        <v>1</v>
      </c>
      <c r="X48" s="47" t="b">
        <f t="shared" si="6"/>
        <v>1</v>
      </c>
      <c r="Y48" s="47" t="b">
        <f t="shared" si="6"/>
        <v>1</v>
      </c>
      <c r="Z48" s="47" t="b">
        <f t="shared" si="6"/>
        <v>1</v>
      </c>
      <c r="AA48" s="47" t="b">
        <f t="shared" si="6"/>
        <v>1</v>
      </c>
    </row>
    <row r="49" spans="2:27" s="5" customFormat="1" ht="32.25" thickBot="1" x14ac:dyDescent="0.3">
      <c r="B49" s="66" t="s">
        <v>222</v>
      </c>
      <c r="C49" s="67" t="s">
        <v>474</v>
      </c>
      <c r="D49" s="39" t="s">
        <v>223</v>
      </c>
      <c r="E49" s="87">
        <f>'5000 и 5001 ДВН'!E49+'5000 и 5001 ПО'!E49</f>
        <v>452</v>
      </c>
      <c r="F49" s="48">
        <f>'5000 и 5001 ДВН'!F49+'5000 и 5001 ПО'!F49</f>
        <v>409</v>
      </c>
      <c r="G49" s="48">
        <f>'5000 и 5001 ДВН'!G49+'5000 и 5001 ПО'!G49</f>
        <v>155</v>
      </c>
      <c r="H49" s="48">
        <f>'5000 и 5001 ДВН'!H49+'5000 и 5001 ПО'!H49</f>
        <v>297</v>
      </c>
      <c r="I49" s="88">
        <f>'5000 и 5001 ДВН'!I49+'5000 и 5001 ПО'!I49</f>
        <v>5</v>
      </c>
      <c r="J49" s="88">
        <f>'5000 и 5001 ДВН'!J49+'5000 и 5001 ПО'!J49</f>
        <v>5</v>
      </c>
      <c r="K49" s="48">
        <f>'5000 и 5001 ДВН'!K49+'5000 и 5001 ПО'!K49</f>
        <v>5</v>
      </c>
      <c r="L49" s="48">
        <f>'5000 и 5001 ДВН'!L49+'5000 и 5001 ПО'!L49</f>
        <v>5</v>
      </c>
      <c r="M49" s="48">
        <f>'5000 и 5001 ДВН'!M49+'5000 и 5001 ПО'!M49</f>
        <v>0</v>
      </c>
      <c r="N49" s="49">
        <f>'5000 и 5001 ДВН'!N49+'5000 и 5001 ПО'!N49</f>
        <v>0</v>
      </c>
      <c r="S49"/>
    </row>
    <row r="50" spans="2:27" s="5" customFormat="1" ht="16.5" thickBot="1" x14ac:dyDescent="0.3">
      <c r="B50" s="66" t="s">
        <v>224</v>
      </c>
      <c r="C50" s="67" t="s">
        <v>475</v>
      </c>
      <c r="D50" s="39" t="s">
        <v>225</v>
      </c>
      <c r="E50" s="87">
        <f>'5000 и 5001 ДВН'!E50+'5000 и 5001 ПО'!E50</f>
        <v>319</v>
      </c>
      <c r="F50" s="48">
        <f>'5000 и 5001 ДВН'!F50+'5000 и 5001 ПО'!F50</f>
        <v>204</v>
      </c>
      <c r="G50" s="48">
        <f>'5000 и 5001 ДВН'!G50+'5000 и 5001 ПО'!G50</f>
        <v>43</v>
      </c>
      <c r="H50" s="48">
        <f>'5000 и 5001 ДВН'!H50+'5000 и 5001 ПО'!H50</f>
        <v>276</v>
      </c>
      <c r="I50" s="88">
        <f>'5000 и 5001 ДВН'!I50+'5000 и 5001 ПО'!I50</f>
        <v>0</v>
      </c>
      <c r="J50" s="88">
        <f>'5000 и 5001 ДВН'!J50+'5000 и 5001 ПО'!J50</f>
        <v>0</v>
      </c>
      <c r="K50" s="48">
        <f>'5000 и 5001 ДВН'!K50+'5000 и 5001 ПО'!K50</f>
        <v>0</v>
      </c>
      <c r="L50" s="48">
        <f>'5000 и 5001 ДВН'!L50+'5000 и 5001 ПО'!L50</f>
        <v>0</v>
      </c>
      <c r="M50" s="48">
        <f>'5000 и 5001 ДВН'!M50+'5000 и 5001 ПО'!M50</f>
        <v>0</v>
      </c>
      <c r="N50" s="49">
        <f>'5000 и 5001 ДВН'!N50+'5000 и 5001 ПО'!N50</f>
        <v>0</v>
      </c>
      <c r="S50"/>
    </row>
    <row r="51" spans="2:27" ht="16.5" thickBot="1" x14ac:dyDescent="0.3">
      <c r="B51" s="75" t="s">
        <v>361</v>
      </c>
      <c r="C51" s="67" t="s">
        <v>362</v>
      </c>
      <c r="D51" s="76" t="s">
        <v>363</v>
      </c>
      <c r="E51" s="87">
        <f>'5000 и 5001 ДВН'!E51+'5000 и 5001 ПО'!E51</f>
        <v>46</v>
      </c>
      <c r="F51" s="50">
        <f>'5000 и 5001 ДВН'!F51+'5000 и 5001 ПО'!F51</f>
        <v>33</v>
      </c>
      <c r="G51" s="50">
        <f>'5000 и 5001 ДВН'!G51+'5000 и 5001 ПО'!G51</f>
        <v>11</v>
      </c>
      <c r="H51" s="50">
        <f>'5000 и 5001 ДВН'!H51+'5000 и 5001 ПО'!H51</f>
        <v>35</v>
      </c>
      <c r="I51" s="87">
        <f>'5000 и 5001 ДВН'!I51+'5000 и 5001 ПО'!I51</f>
        <v>0</v>
      </c>
      <c r="J51" s="87">
        <f>'5000 и 5001 ДВН'!J51+'5000 и 5001 ПО'!J51</f>
        <v>0</v>
      </c>
      <c r="K51" s="50">
        <f>'5000 и 5001 ДВН'!K51+'5000 и 5001 ПО'!K51</f>
        <v>0</v>
      </c>
      <c r="L51" s="50">
        <f>'5000 и 5001 ДВН'!L51+'5000 и 5001 ПО'!L51</f>
        <v>0</v>
      </c>
      <c r="M51" s="50">
        <f>'5000 и 5001 ДВН'!M51+'5000 и 5001 ПО'!M51</f>
        <v>0</v>
      </c>
      <c r="N51" s="50">
        <f>'5000 и 5001 ДВН'!N51+'5000 и 5001 ПО'!N51</f>
        <v>0</v>
      </c>
    </row>
    <row r="52" spans="2:27" ht="16.5" thickBot="1" x14ac:dyDescent="0.3">
      <c r="B52" s="75" t="s">
        <v>364</v>
      </c>
      <c r="C52" s="67" t="s">
        <v>365</v>
      </c>
      <c r="D52" s="76" t="s">
        <v>366</v>
      </c>
      <c r="E52" s="87">
        <f>'5000 и 5001 ДВН'!E52+'5000 и 5001 ПО'!E52</f>
        <v>2</v>
      </c>
      <c r="F52" s="50">
        <f>'5000 и 5001 ДВН'!F52+'5000 и 5001 ПО'!F52</f>
        <v>0</v>
      </c>
      <c r="G52" s="50">
        <f>'5000 и 5001 ДВН'!G52+'5000 и 5001 ПО'!G52</f>
        <v>2</v>
      </c>
      <c r="H52" s="50">
        <f>'5000 и 5001 ДВН'!H52+'5000 и 5001 ПО'!H52</f>
        <v>0</v>
      </c>
      <c r="I52" s="87">
        <f>'5000 и 5001 ДВН'!I52+'5000 и 5001 ПО'!I52</f>
        <v>0</v>
      </c>
      <c r="J52" s="87">
        <f>'5000 и 5001 ДВН'!J52+'5000 и 5001 ПО'!J52</f>
        <v>0</v>
      </c>
      <c r="K52" s="50">
        <f>'5000 и 5001 ДВН'!K52+'5000 и 5001 ПО'!K52</f>
        <v>0</v>
      </c>
      <c r="L52" s="50">
        <f>'5000 и 5001 ДВН'!L52+'5000 и 5001 ПО'!L52</f>
        <v>0</v>
      </c>
      <c r="M52" s="50">
        <f>'5000 и 5001 ДВН'!M52+'5000 и 5001 ПО'!M52</f>
        <v>0</v>
      </c>
      <c r="N52" s="50">
        <f>'5000 и 5001 ДВН'!N52+'5000 и 5001 ПО'!N52</f>
        <v>0</v>
      </c>
    </row>
    <row r="53" spans="2:27" ht="16.5" thickBot="1" x14ac:dyDescent="0.3">
      <c r="B53" s="77" t="s">
        <v>367</v>
      </c>
      <c r="C53" s="67" t="s">
        <v>372</v>
      </c>
      <c r="D53" s="76" t="s">
        <v>368</v>
      </c>
      <c r="E53" s="87">
        <f>'5000 и 5001 ДВН'!E53+'5000 и 5001 ПО'!E53</f>
        <v>273</v>
      </c>
      <c r="F53" s="50">
        <f>'5000 и 5001 ДВН'!F53+'5000 и 5001 ПО'!F53</f>
        <v>171</v>
      </c>
      <c r="G53" s="50">
        <f>'5000 и 5001 ДВН'!G53+'5000 и 5001 ПО'!G53</f>
        <v>32</v>
      </c>
      <c r="H53" s="50">
        <f>'5000 и 5001 ДВН'!H53+'5000 и 5001 ПО'!H53</f>
        <v>241</v>
      </c>
      <c r="I53" s="87">
        <f>'5000 и 5001 ДВН'!I53+'5000 и 5001 ПО'!I53</f>
        <v>0</v>
      </c>
      <c r="J53" s="87">
        <f>'5000 и 5001 ДВН'!J53+'5000 и 5001 ПО'!J53</f>
        <v>0</v>
      </c>
      <c r="K53" s="50">
        <f>'5000 и 5001 ДВН'!K53+'5000 и 5001 ПО'!K53</f>
        <v>0</v>
      </c>
      <c r="L53" s="50">
        <f>'5000 и 5001 ДВН'!L53+'5000 и 5001 ПО'!L53</f>
        <v>0</v>
      </c>
      <c r="M53" s="50">
        <f>'5000 и 5001 ДВН'!M53+'5000 и 5001 ПО'!M53</f>
        <v>0</v>
      </c>
      <c r="N53" s="50">
        <f>'5000 и 5001 ДВН'!N53+'5000 и 5001 ПО'!N53</f>
        <v>0</v>
      </c>
    </row>
    <row r="54" spans="2:27" ht="32.25" thickBot="1" x14ac:dyDescent="0.3">
      <c r="B54" s="75" t="s">
        <v>369</v>
      </c>
      <c r="C54" s="67" t="s">
        <v>476</v>
      </c>
      <c r="D54" s="76" t="s">
        <v>370</v>
      </c>
      <c r="E54" s="87">
        <f>'5000 и 5001 ДВН'!E54+'5000 и 5001 ПО'!E54</f>
        <v>27</v>
      </c>
      <c r="F54" s="50">
        <f>'5000 и 5001 ДВН'!F54+'5000 и 5001 ПО'!F54</f>
        <v>17</v>
      </c>
      <c r="G54" s="50">
        <f>'5000 и 5001 ДВН'!G54+'5000 и 5001 ПО'!G54</f>
        <v>8</v>
      </c>
      <c r="H54" s="50">
        <f>'5000 и 5001 ДВН'!H54+'5000 и 5001 ПО'!H54</f>
        <v>19</v>
      </c>
      <c r="I54" s="87">
        <f>'5000 и 5001 ДВН'!I54+'5000 и 5001 ПО'!I54</f>
        <v>0</v>
      </c>
      <c r="J54" s="87">
        <f>'5000 и 5001 ДВН'!J54+'5000 и 5001 ПО'!J54</f>
        <v>0</v>
      </c>
      <c r="K54" s="50">
        <f>'5000 и 5001 ДВН'!K54+'5000 и 5001 ПО'!K54</f>
        <v>0</v>
      </c>
      <c r="L54" s="50">
        <f>'5000 и 5001 ДВН'!L54+'5000 и 5001 ПО'!L54</f>
        <v>0</v>
      </c>
      <c r="M54" s="50">
        <f>'5000 и 5001 ДВН'!M54+'5000 и 5001 ПО'!M54</f>
        <v>0</v>
      </c>
      <c r="N54" s="50">
        <f>'5000 и 5001 ДВН'!N54+'5000 и 5001 ПО'!N54</f>
        <v>0</v>
      </c>
    </row>
    <row r="55" spans="2:27" ht="16.5" thickBot="1" x14ac:dyDescent="0.3">
      <c r="B55" s="75" t="s">
        <v>371</v>
      </c>
      <c r="C55" s="67" t="s">
        <v>477</v>
      </c>
      <c r="D55" s="76" t="s">
        <v>373</v>
      </c>
      <c r="E55" s="87">
        <f>'5000 и 5001 ДВН'!E55+'5000 и 5001 ПО'!E55</f>
        <v>125</v>
      </c>
      <c r="F55" s="50">
        <f>'5000 и 5001 ДВН'!F55+'5000 и 5001 ПО'!F55</f>
        <v>41</v>
      </c>
      <c r="G55" s="50">
        <f>'5000 и 5001 ДВН'!G55+'5000 и 5001 ПО'!G55</f>
        <v>14</v>
      </c>
      <c r="H55" s="50">
        <f>'5000 и 5001 ДВН'!H55+'5000 и 5001 ПО'!H55</f>
        <v>111</v>
      </c>
      <c r="I55" s="87">
        <f>'5000 и 5001 ДВН'!I55+'5000 и 5001 ПО'!I55</f>
        <v>0</v>
      </c>
      <c r="J55" s="87">
        <f>'5000 и 5001 ДВН'!J55+'5000 и 5001 ПО'!J55</f>
        <v>0</v>
      </c>
      <c r="K55" s="50">
        <f>'5000 и 5001 ДВН'!K55+'5000 и 5001 ПО'!K55</f>
        <v>0</v>
      </c>
      <c r="L55" s="50">
        <f>'5000 и 5001 ДВН'!L55+'5000 и 5001 ПО'!L55</f>
        <v>0</v>
      </c>
      <c r="M55" s="50">
        <f>'5000 и 5001 ДВН'!M55+'5000 и 5001 ПО'!M55</f>
        <v>0</v>
      </c>
      <c r="N55" s="50">
        <f>'5000 и 5001 ДВН'!N55+'5000 и 5001 ПО'!N55</f>
        <v>0</v>
      </c>
    </row>
    <row r="56" spans="2:27" s="5" customFormat="1" ht="16.5" thickBot="1" x14ac:dyDescent="0.3">
      <c r="B56" s="66" t="s">
        <v>226</v>
      </c>
      <c r="C56" s="67" t="s">
        <v>478</v>
      </c>
      <c r="D56" s="39" t="s">
        <v>227</v>
      </c>
      <c r="E56" s="87">
        <f>'5000 и 5001 ДВН'!E56+'5000 и 5001 ПО'!E56</f>
        <v>343</v>
      </c>
      <c r="F56" s="48">
        <f>'5000 и 5001 ДВН'!F56+'5000 и 5001 ПО'!F56</f>
        <v>87</v>
      </c>
      <c r="G56" s="48">
        <f>'5000 и 5001 ДВН'!G56+'5000 и 5001 ПО'!G56</f>
        <v>97</v>
      </c>
      <c r="H56" s="48">
        <f>'5000 и 5001 ДВН'!H56+'5000 и 5001 ПО'!H56</f>
        <v>246</v>
      </c>
      <c r="I56" s="88">
        <f>'5000 и 5001 ДВН'!I56+'5000 и 5001 ПО'!I56</f>
        <v>0</v>
      </c>
      <c r="J56" s="88">
        <f>'5000 и 5001 ДВН'!J56+'5000 и 5001 ПО'!J56</f>
        <v>0</v>
      </c>
      <c r="K56" s="48">
        <f>'5000 и 5001 ДВН'!K56+'5000 и 5001 ПО'!K56</f>
        <v>0</v>
      </c>
      <c r="L56" s="48">
        <f>'5000 и 5001 ДВН'!L56+'5000 и 5001 ПО'!L56</f>
        <v>0</v>
      </c>
      <c r="M56" s="48">
        <f>'5000 и 5001 ДВН'!M56+'5000 и 5001 ПО'!M56</f>
        <v>0</v>
      </c>
      <c r="N56" s="49">
        <f>'5000 и 5001 ДВН'!N56+'5000 и 5001 ПО'!N56</f>
        <v>0</v>
      </c>
      <c r="S56"/>
    </row>
    <row r="57" spans="2:27" s="5" customFormat="1" ht="63.75" thickBot="1" x14ac:dyDescent="0.3">
      <c r="B57" s="66" t="s">
        <v>228</v>
      </c>
      <c r="C57" s="67" t="s">
        <v>479</v>
      </c>
      <c r="D57" s="39" t="s">
        <v>229</v>
      </c>
      <c r="E57" s="87">
        <f>'5000 и 5001 ДВН'!E57+'5000 и 5001 ПО'!E57</f>
        <v>0</v>
      </c>
      <c r="F57" s="48">
        <f>'5000 и 5001 ДВН'!F57+'5000 и 5001 ПО'!F57</f>
        <v>0</v>
      </c>
      <c r="G57" s="48">
        <f>'5000 и 5001 ДВН'!G57+'5000 и 5001 ПО'!G57</f>
        <v>0</v>
      </c>
      <c r="H57" s="48">
        <f>'5000 и 5001 ДВН'!H57+'5000 и 5001 ПО'!H57</f>
        <v>0</v>
      </c>
      <c r="I57" s="88">
        <f>'5000 и 5001 ДВН'!I57+'5000 и 5001 ПО'!I57</f>
        <v>0</v>
      </c>
      <c r="J57" s="88">
        <f>'5000 и 5001 ДВН'!J57+'5000 и 5001 ПО'!J57</f>
        <v>0</v>
      </c>
      <c r="K57" s="48">
        <f>'5000 и 5001 ДВН'!K57+'5000 и 5001 ПО'!K57</f>
        <v>0</v>
      </c>
      <c r="L57" s="48">
        <f>'5000 и 5001 ДВН'!L57+'5000 и 5001 ПО'!L57</f>
        <v>0</v>
      </c>
      <c r="M57" s="48">
        <f>'5000 и 5001 ДВН'!M57+'5000 и 5001 ПО'!M57</f>
        <v>0</v>
      </c>
      <c r="N57" s="49">
        <f>'5000 и 5001 ДВН'!N57+'5000 и 5001 ПО'!N57</f>
        <v>0</v>
      </c>
      <c r="S57"/>
    </row>
    <row r="58" spans="2:27" ht="16.5" thickBot="1" x14ac:dyDescent="0.3">
      <c r="B58" s="75" t="s">
        <v>374</v>
      </c>
      <c r="C58" s="67" t="s">
        <v>480</v>
      </c>
      <c r="D58" s="78" t="s">
        <v>375</v>
      </c>
      <c r="E58" s="87">
        <f>'5000 и 5001 ДВН'!E58+'5000 и 5001 ПО'!E58</f>
        <v>339</v>
      </c>
      <c r="F58" s="50">
        <f>'5000 и 5001 ДВН'!F58+'5000 и 5001 ПО'!F58</f>
        <v>87</v>
      </c>
      <c r="G58" s="50">
        <f>'5000 и 5001 ДВН'!G58+'5000 и 5001 ПО'!G58</f>
        <v>95</v>
      </c>
      <c r="H58" s="50">
        <f>'5000 и 5001 ДВН'!H58+'5000 и 5001 ПО'!H58</f>
        <v>244</v>
      </c>
      <c r="I58" s="87">
        <f>'5000 и 5001 ДВН'!I58+'5000 и 5001 ПО'!I58</f>
        <v>0</v>
      </c>
      <c r="J58" s="87">
        <f>'5000 и 5001 ДВН'!J58+'5000 и 5001 ПО'!J58</f>
        <v>0</v>
      </c>
      <c r="K58" s="50">
        <f>'5000 и 5001 ДВН'!K58+'5000 и 5001 ПО'!K58</f>
        <v>0</v>
      </c>
      <c r="L58" s="50">
        <f>'5000 и 5001 ДВН'!L58+'5000 и 5001 ПО'!L58</f>
        <v>0</v>
      </c>
      <c r="M58" s="50">
        <f>'5000 и 5001 ДВН'!M58+'5000 и 5001 ПО'!M58</f>
        <v>0</v>
      </c>
      <c r="N58" s="50">
        <f>'5000 и 5001 ДВН'!N58+'5000 и 5001 ПО'!N58</f>
        <v>0</v>
      </c>
    </row>
    <row r="59" spans="2:27" ht="16.5" thickBot="1" x14ac:dyDescent="0.3">
      <c r="B59" s="58" t="s">
        <v>376</v>
      </c>
      <c r="C59" s="67" t="s">
        <v>481</v>
      </c>
      <c r="D59" s="60" t="s">
        <v>377</v>
      </c>
      <c r="E59" s="87">
        <f>'5000 и 5001 ДВН'!E59+'5000 и 5001 ПО'!E59</f>
        <v>0</v>
      </c>
      <c r="F59" s="50">
        <f>'5000 и 5001 ДВН'!F59+'5000 и 5001 ПО'!F59</f>
        <v>0</v>
      </c>
      <c r="G59" s="50">
        <f>'5000 и 5001 ДВН'!G59+'5000 и 5001 ПО'!G59</f>
        <v>0</v>
      </c>
      <c r="H59" s="50">
        <f>'5000 и 5001 ДВН'!H59+'5000 и 5001 ПО'!H59</f>
        <v>0</v>
      </c>
      <c r="I59" s="87">
        <f>'5000 и 5001 ДВН'!I59+'5000 и 5001 ПО'!I59</f>
        <v>0</v>
      </c>
      <c r="J59" s="87">
        <f>'5000 и 5001 ДВН'!J59+'5000 и 5001 ПО'!J59</f>
        <v>0</v>
      </c>
      <c r="K59" s="50">
        <f>'5000 и 5001 ДВН'!K59+'5000 и 5001 ПО'!K59</f>
        <v>0</v>
      </c>
      <c r="L59" s="50">
        <f>'5000 и 5001 ДВН'!L59+'5000 и 5001 ПО'!L59</f>
        <v>0</v>
      </c>
      <c r="M59" s="50">
        <f>'5000 и 5001 ДВН'!M59+'5000 и 5001 ПО'!M59</f>
        <v>0</v>
      </c>
      <c r="N59" s="50">
        <f>'5000 и 5001 ДВН'!N59+'5000 и 5001 ПО'!N59</f>
        <v>0</v>
      </c>
    </row>
    <row r="60" spans="2:27" ht="45.75" thickBot="1" x14ac:dyDescent="0.3">
      <c r="B60" s="72" t="s">
        <v>378</v>
      </c>
      <c r="C60" s="67" t="s">
        <v>482</v>
      </c>
      <c r="D60" s="63" t="s">
        <v>379</v>
      </c>
      <c r="E60" s="87">
        <f>'5000 и 5001 ДВН'!E60+'5000 и 5001 ПО'!E60</f>
        <v>52</v>
      </c>
      <c r="F60" s="50">
        <f>'5000 и 5001 ДВН'!F60+'5000 и 5001 ПО'!F60</f>
        <v>44</v>
      </c>
      <c r="G60" s="50">
        <f>'5000 и 5001 ДВН'!G60+'5000 и 5001 ПО'!G60</f>
        <v>26</v>
      </c>
      <c r="H60" s="50">
        <f>'5000 и 5001 ДВН'!H60+'5000 и 5001 ПО'!H60</f>
        <v>26</v>
      </c>
      <c r="I60" s="87">
        <f>'5000 и 5001 ДВН'!I60+'5000 и 5001 ПО'!I60</f>
        <v>3</v>
      </c>
      <c r="J60" s="87">
        <f>'5000 и 5001 ДВН'!J60+'5000 и 5001 ПО'!J60</f>
        <v>3</v>
      </c>
      <c r="K60" s="50">
        <f>'5000 и 5001 ДВН'!K60+'5000 и 5001 ПО'!K60</f>
        <v>2</v>
      </c>
      <c r="L60" s="50">
        <f>'5000 и 5001 ДВН'!L60+'5000 и 5001 ПО'!L60</f>
        <v>2</v>
      </c>
      <c r="M60" s="50">
        <f>'5000 и 5001 ДВН'!M60+'5000 и 5001 ПО'!M60</f>
        <v>1</v>
      </c>
      <c r="N60" s="50">
        <f>'5000 и 5001 ДВН'!N60+'5000 и 5001 ПО'!N60</f>
        <v>1</v>
      </c>
      <c r="O60" s="417" t="str">
        <f>IF(Q60&gt;0,"стр.8 &lt; суммы строк(8.1+8.2+8.3) по графе "&amp;P60,"ОК")</f>
        <v>ОК</v>
      </c>
      <c r="P60" s="266" t="str">
        <f>IF(Q60&gt;0,INDEX($F$6:$N$6,1,Q60),CHAR(151))</f>
        <v>—</v>
      </c>
      <c r="Q60" s="416">
        <f>IF(ISERROR(MATCH(FALSE,S60:AA60,0)),0,MATCH(FALSE,S60:AA60,0))</f>
        <v>0</v>
      </c>
      <c r="R60" s="419" t="s">
        <v>797</v>
      </c>
      <c r="S60" s="47" t="b">
        <f>F60&gt;=SUM(F61:F63)</f>
        <v>1</v>
      </c>
      <c r="T60" s="47" t="b">
        <f t="shared" ref="T60:AA60" si="7">G60&gt;=SUM(G61:G63)</f>
        <v>1</v>
      </c>
      <c r="U60" s="47" t="b">
        <f t="shared" si="7"/>
        <v>1</v>
      </c>
      <c r="V60" s="47" t="b">
        <f t="shared" si="7"/>
        <v>1</v>
      </c>
      <c r="W60" s="47" t="b">
        <f t="shared" si="7"/>
        <v>1</v>
      </c>
      <c r="X60" s="47" t="b">
        <f t="shared" si="7"/>
        <v>1</v>
      </c>
      <c r="Y60" s="47" t="b">
        <f t="shared" si="7"/>
        <v>1</v>
      </c>
      <c r="Z60" s="47" t="b">
        <f t="shared" si="7"/>
        <v>1</v>
      </c>
      <c r="AA60" s="47" t="b">
        <f t="shared" si="7"/>
        <v>1</v>
      </c>
    </row>
    <row r="61" spans="2:27" ht="142.5" thickBot="1" x14ac:dyDescent="0.3">
      <c r="B61" s="77" t="s">
        <v>380</v>
      </c>
      <c r="C61" s="67" t="s">
        <v>381</v>
      </c>
      <c r="D61" s="78" t="s">
        <v>382</v>
      </c>
      <c r="E61" s="87">
        <f>'5000 и 5001 ДВН'!E61+'5000 и 5001 ПО'!E61</f>
        <v>1</v>
      </c>
      <c r="F61" s="50">
        <f>'5000 и 5001 ДВН'!F61+'5000 и 5001 ПО'!F61</f>
        <v>1</v>
      </c>
      <c r="G61" s="50">
        <f>'5000 и 5001 ДВН'!G61+'5000 и 5001 ПО'!G61</f>
        <v>1</v>
      </c>
      <c r="H61" s="50">
        <f>'5000 и 5001 ДВН'!H61+'5000 и 5001 ПО'!H61</f>
        <v>0</v>
      </c>
      <c r="I61" s="87">
        <f>'5000 и 5001 ДВН'!I61+'5000 и 5001 ПО'!I61</f>
        <v>1</v>
      </c>
      <c r="J61" s="87">
        <f>'5000 и 5001 ДВН'!J61+'5000 и 5001 ПО'!J61</f>
        <v>1</v>
      </c>
      <c r="K61" s="50">
        <f>'5000 и 5001 ДВН'!K61+'5000 и 5001 ПО'!K61</f>
        <v>1</v>
      </c>
      <c r="L61" s="50">
        <f>'5000 и 5001 ДВН'!L61+'5000 и 5001 ПО'!L61</f>
        <v>1</v>
      </c>
      <c r="M61" s="50">
        <f>'5000 и 5001 ДВН'!M61+'5000 и 5001 ПО'!M61</f>
        <v>0</v>
      </c>
      <c r="N61" s="50">
        <f>'5000 и 5001 ДВН'!N61+'5000 и 5001 ПО'!N61</f>
        <v>0</v>
      </c>
    </row>
    <row r="62" spans="2:27" s="5" customFormat="1" ht="79.5" thickBot="1" x14ac:dyDescent="0.3">
      <c r="B62" s="69" t="s">
        <v>232</v>
      </c>
      <c r="C62" s="67" t="s">
        <v>483</v>
      </c>
      <c r="D62" s="70" t="s">
        <v>233</v>
      </c>
      <c r="E62" s="87">
        <f>'5000 и 5001 ДВН'!E62+'5000 и 5001 ПО'!E62</f>
        <v>23</v>
      </c>
      <c r="F62" s="53">
        <f>'5000 и 5001 ДВН'!F62+'5000 и 5001 ПО'!F62</f>
        <v>15</v>
      </c>
      <c r="G62" s="53">
        <f>'5000 и 5001 ДВН'!G62+'5000 и 5001 ПО'!G62</f>
        <v>16</v>
      </c>
      <c r="H62" s="53">
        <f>'5000 и 5001 ДВН'!H62+'5000 и 5001 ПО'!H62</f>
        <v>7</v>
      </c>
      <c r="I62" s="90">
        <f>'5000 и 5001 ДВН'!I62+'5000 и 5001 ПО'!I62</f>
        <v>0</v>
      </c>
      <c r="J62" s="90">
        <f>'5000 и 5001 ДВН'!J62+'5000 и 5001 ПО'!J62</f>
        <v>0</v>
      </c>
      <c r="K62" s="53">
        <f>'5000 и 5001 ДВН'!K62+'5000 и 5001 ПО'!K62</f>
        <v>0</v>
      </c>
      <c r="L62" s="53">
        <f>'5000 и 5001 ДВН'!L62+'5000 и 5001 ПО'!L62</f>
        <v>0</v>
      </c>
      <c r="M62" s="53">
        <f>'5000 и 5001 ДВН'!M62+'5000 и 5001 ПО'!M62</f>
        <v>0</v>
      </c>
      <c r="N62" s="54">
        <f>'5000 и 5001 ДВН'!N62+'5000 и 5001 ПО'!N62</f>
        <v>0</v>
      </c>
      <c r="S62"/>
    </row>
    <row r="63" spans="2:27" s="5" customFormat="1" ht="48" thickBot="1" x14ac:dyDescent="0.3">
      <c r="B63" s="66" t="s">
        <v>234</v>
      </c>
      <c r="C63" s="67" t="s">
        <v>484</v>
      </c>
      <c r="D63" s="39" t="s">
        <v>235</v>
      </c>
      <c r="E63" s="87">
        <f>'5000 и 5001 ДВН'!E63+'5000 и 5001 ПО'!E63</f>
        <v>27</v>
      </c>
      <c r="F63" s="48">
        <f>'5000 и 5001 ДВН'!F63+'5000 и 5001 ПО'!F63</f>
        <v>27</v>
      </c>
      <c r="G63" s="48">
        <f>'5000 и 5001 ДВН'!G63+'5000 и 5001 ПО'!G63</f>
        <v>8</v>
      </c>
      <c r="H63" s="48">
        <f>'5000 и 5001 ДВН'!H63+'5000 и 5001 ПО'!H63</f>
        <v>19</v>
      </c>
      <c r="I63" s="88">
        <f>'5000 и 5001 ДВН'!I63+'5000 и 5001 ПО'!I63</f>
        <v>0</v>
      </c>
      <c r="J63" s="88">
        <f>'5000 и 5001 ДВН'!J63+'5000 и 5001 ПО'!J63</f>
        <v>0</v>
      </c>
      <c r="K63" s="48">
        <f>'5000 и 5001 ДВН'!K63+'5000 и 5001 ПО'!K63</f>
        <v>0</v>
      </c>
      <c r="L63" s="48">
        <f>'5000 и 5001 ДВН'!L63+'5000 и 5001 ПО'!L63</f>
        <v>0</v>
      </c>
      <c r="M63" s="48">
        <f>'5000 и 5001 ДВН'!M63+'5000 и 5001 ПО'!M63</f>
        <v>0</v>
      </c>
      <c r="N63" s="49">
        <f>'5000 и 5001 ДВН'!N63+'5000 и 5001 ПО'!N63</f>
        <v>0</v>
      </c>
      <c r="S63"/>
    </row>
    <row r="64" spans="2:27" ht="45.75" thickBot="1" x14ac:dyDescent="0.3">
      <c r="B64" s="61" t="s">
        <v>383</v>
      </c>
      <c r="C64" s="67" t="s">
        <v>485</v>
      </c>
      <c r="D64" s="63" t="s">
        <v>384</v>
      </c>
      <c r="E64" s="87">
        <f>'5000 и 5001 ДВН'!E64+'5000 и 5001 ПО'!E64</f>
        <v>155</v>
      </c>
      <c r="F64" s="50">
        <f>'5000 и 5001 ДВН'!F64+'5000 и 5001 ПО'!F64</f>
        <v>81</v>
      </c>
      <c r="G64" s="50">
        <f>'5000 и 5001 ДВН'!G64+'5000 и 5001 ПО'!G64</f>
        <v>83</v>
      </c>
      <c r="H64" s="50">
        <f>'5000 и 5001 ДВН'!H64+'5000 и 5001 ПО'!H64</f>
        <v>72</v>
      </c>
      <c r="I64" s="87">
        <f>'5000 и 5001 ДВН'!I64+'5000 и 5001 ПО'!I64</f>
        <v>4</v>
      </c>
      <c r="J64" s="87">
        <f>'5000 и 5001 ДВН'!J64+'5000 и 5001 ПО'!J64</f>
        <v>4</v>
      </c>
      <c r="K64" s="50">
        <f>'5000 и 5001 ДВН'!K64+'5000 и 5001 ПО'!K64</f>
        <v>4</v>
      </c>
      <c r="L64" s="50">
        <f>'5000 и 5001 ДВН'!L64+'5000 и 5001 ПО'!L64</f>
        <v>4</v>
      </c>
      <c r="M64" s="50">
        <f>'5000 и 5001 ДВН'!M64+'5000 и 5001 ПО'!M64</f>
        <v>0</v>
      </c>
      <c r="N64" s="50">
        <f>'5000 и 5001 ДВН'!N64+'5000 и 5001 ПО'!N64</f>
        <v>0</v>
      </c>
      <c r="O64" s="417" t="str">
        <f>IF(Q64&gt;0,"стр.9 &lt; суммы строк(9.1+9.2+9.3+9.4) по графе "&amp;P64,"ОК")</f>
        <v>ОК</v>
      </c>
      <c r="P64" s="266" t="str">
        <f>IF(Q64&gt;0,INDEX($F$6:$N$6,1,Q64),CHAR(151))</f>
        <v>—</v>
      </c>
      <c r="Q64" s="416">
        <f>IF(ISERROR(MATCH(FALSE,S64:AA64,0)),0,MATCH(FALSE,S64:AA64,0))</f>
        <v>0</v>
      </c>
      <c r="R64" s="419" t="s">
        <v>789</v>
      </c>
      <c r="S64" s="47" t="b">
        <f>F64&gt;=SUM(F65:F68)</f>
        <v>1</v>
      </c>
      <c r="T64" s="47" t="b">
        <f t="shared" ref="T64:AA64" si="8">G64&gt;=SUM(G65:G68)</f>
        <v>1</v>
      </c>
      <c r="U64" s="47" t="b">
        <f t="shared" si="8"/>
        <v>1</v>
      </c>
      <c r="V64" s="47" t="b">
        <f t="shared" si="8"/>
        <v>1</v>
      </c>
      <c r="W64" s="47" t="b">
        <f t="shared" si="8"/>
        <v>1</v>
      </c>
      <c r="X64" s="47" t="b">
        <f t="shared" si="8"/>
        <v>1</v>
      </c>
      <c r="Y64" s="47" t="b">
        <f t="shared" si="8"/>
        <v>1</v>
      </c>
      <c r="Z64" s="47" t="b">
        <f t="shared" si="8"/>
        <v>1</v>
      </c>
      <c r="AA64" s="47" t="b">
        <f t="shared" si="8"/>
        <v>1</v>
      </c>
    </row>
    <row r="65" spans="2:27" s="5" customFormat="1" ht="32.25" thickBot="1" x14ac:dyDescent="0.3">
      <c r="B65" s="66" t="s">
        <v>238</v>
      </c>
      <c r="C65" s="67" t="s">
        <v>268</v>
      </c>
      <c r="D65" s="39" t="s">
        <v>239</v>
      </c>
      <c r="E65" s="87">
        <f>'5000 и 5001 ДВН'!E65+'5000 и 5001 ПО'!E65</f>
        <v>34</v>
      </c>
      <c r="F65" s="48">
        <f>'5000 и 5001 ДВН'!F65+'5000 и 5001 ПО'!F65</f>
        <v>34</v>
      </c>
      <c r="G65" s="48">
        <f>'5000 и 5001 ДВН'!G65+'5000 и 5001 ПО'!G65</f>
        <v>21</v>
      </c>
      <c r="H65" s="48">
        <f>'5000 и 5001 ДВН'!H65+'5000 и 5001 ПО'!H65</f>
        <v>13</v>
      </c>
      <c r="I65" s="88">
        <f>'5000 и 5001 ДВН'!I65+'5000 и 5001 ПО'!I65</f>
        <v>0</v>
      </c>
      <c r="J65" s="88">
        <f>'5000 и 5001 ДВН'!J65+'5000 и 5001 ПО'!J65</f>
        <v>0</v>
      </c>
      <c r="K65" s="48">
        <f>'5000 и 5001 ДВН'!K65+'5000 и 5001 ПО'!K65</f>
        <v>0</v>
      </c>
      <c r="L65" s="48">
        <f>'5000 и 5001 ДВН'!L65+'5000 и 5001 ПО'!L65</f>
        <v>0</v>
      </c>
      <c r="M65" s="48">
        <f>'5000 и 5001 ДВН'!M65+'5000 и 5001 ПО'!M65</f>
        <v>0</v>
      </c>
      <c r="N65" s="49">
        <f>'5000 и 5001 ДВН'!N65+'5000 и 5001 ПО'!N65</f>
        <v>0</v>
      </c>
      <c r="S65"/>
    </row>
    <row r="66" spans="2:27" s="5" customFormat="1" ht="16.5" thickBot="1" x14ac:dyDescent="0.3">
      <c r="B66" s="66" t="s">
        <v>240</v>
      </c>
      <c r="C66" s="67" t="s">
        <v>269</v>
      </c>
      <c r="D66" s="39" t="s">
        <v>241</v>
      </c>
      <c r="E66" s="87">
        <f>'5000 и 5001 ДВН'!E66+'5000 и 5001 ПО'!E66</f>
        <v>44</v>
      </c>
      <c r="F66" s="48">
        <f>'5000 и 5001 ДВН'!F66+'5000 и 5001 ПО'!F66</f>
        <v>28</v>
      </c>
      <c r="G66" s="48">
        <f>'5000 и 5001 ДВН'!G66+'5000 и 5001 ПО'!G66</f>
        <v>29</v>
      </c>
      <c r="H66" s="48">
        <f>'5000 и 5001 ДВН'!H66+'5000 и 5001 ПО'!H66</f>
        <v>15</v>
      </c>
      <c r="I66" s="88">
        <f>'5000 и 5001 ДВН'!I66+'5000 и 5001 ПО'!I66</f>
        <v>4</v>
      </c>
      <c r="J66" s="88">
        <f>'5000 и 5001 ДВН'!J66+'5000 и 5001 ПО'!J66</f>
        <v>4</v>
      </c>
      <c r="K66" s="48">
        <f>'5000 и 5001 ДВН'!K66+'5000 и 5001 ПО'!K66</f>
        <v>4</v>
      </c>
      <c r="L66" s="48">
        <f>'5000 и 5001 ДВН'!L66+'5000 и 5001 ПО'!L66</f>
        <v>4</v>
      </c>
      <c r="M66" s="48">
        <f>'5000 и 5001 ДВН'!M66+'5000 и 5001 ПО'!M66</f>
        <v>0</v>
      </c>
      <c r="N66" s="49">
        <f>'5000 и 5001 ДВН'!N66+'5000 и 5001 ПО'!N66</f>
        <v>0</v>
      </c>
      <c r="S66"/>
    </row>
    <row r="67" spans="2:27" ht="16.5" thickBot="1" x14ac:dyDescent="0.3">
      <c r="B67" s="75" t="s">
        <v>385</v>
      </c>
      <c r="C67" s="67" t="s">
        <v>270</v>
      </c>
      <c r="D67" s="76" t="s">
        <v>386</v>
      </c>
      <c r="E67" s="87">
        <f>'5000 и 5001 ДВН'!E67+'5000 и 5001 ПО'!E67</f>
        <v>0</v>
      </c>
      <c r="F67" s="50">
        <f>'5000 и 5001 ДВН'!F67+'5000 и 5001 ПО'!F67</f>
        <v>0</v>
      </c>
      <c r="G67" s="50">
        <f>'5000 и 5001 ДВН'!G67+'5000 и 5001 ПО'!G67</f>
        <v>0</v>
      </c>
      <c r="H67" s="50">
        <f>'5000 и 5001 ДВН'!H67+'5000 и 5001 ПО'!H67</f>
        <v>0</v>
      </c>
      <c r="I67" s="87">
        <f>'5000 и 5001 ДВН'!I67+'5000 и 5001 ПО'!I67</f>
        <v>0</v>
      </c>
      <c r="J67" s="87">
        <f>'5000 и 5001 ДВН'!J67+'5000 и 5001 ПО'!J67</f>
        <v>0</v>
      </c>
      <c r="K67" s="50">
        <f>'5000 и 5001 ДВН'!K67+'5000 и 5001 ПО'!K67</f>
        <v>0</v>
      </c>
      <c r="L67" s="50">
        <f>'5000 и 5001 ДВН'!L67+'5000 и 5001 ПО'!L67</f>
        <v>0</v>
      </c>
      <c r="M67" s="50">
        <f>'5000 и 5001 ДВН'!M67+'5000 и 5001 ПО'!M67</f>
        <v>0</v>
      </c>
      <c r="N67" s="50">
        <f>'5000 и 5001 ДВН'!N67+'5000 и 5001 ПО'!N67</f>
        <v>0</v>
      </c>
    </row>
    <row r="68" spans="2:27" ht="16.5" thickBot="1" x14ac:dyDescent="0.3">
      <c r="B68" s="79" t="s">
        <v>387</v>
      </c>
      <c r="C68" s="67" t="s">
        <v>271</v>
      </c>
      <c r="D68" s="80" t="s">
        <v>388</v>
      </c>
      <c r="E68" s="87">
        <f>'5000 и 5001 ДВН'!E68+'5000 и 5001 ПО'!E68</f>
        <v>2</v>
      </c>
      <c r="F68" s="50">
        <f>'5000 и 5001 ДВН'!F68+'5000 и 5001 ПО'!F68</f>
        <v>0</v>
      </c>
      <c r="G68" s="50">
        <f>'5000 и 5001 ДВН'!G68+'5000 и 5001 ПО'!G68</f>
        <v>1</v>
      </c>
      <c r="H68" s="50">
        <f>'5000 и 5001 ДВН'!H68+'5000 и 5001 ПО'!H68</f>
        <v>1</v>
      </c>
      <c r="I68" s="87">
        <f>'5000 и 5001 ДВН'!I68+'5000 и 5001 ПО'!I68</f>
        <v>0</v>
      </c>
      <c r="J68" s="87">
        <f>'5000 и 5001 ДВН'!J68+'5000 и 5001 ПО'!J68</f>
        <v>0</v>
      </c>
      <c r="K68" s="50">
        <f>'5000 и 5001 ДВН'!K68+'5000 и 5001 ПО'!K68</f>
        <v>0</v>
      </c>
      <c r="L68" s="50">
        <f>'5000 и 5001 ДВН'!L68+'5000 и 5001 ПО'!L68</f>
        <v>0</v>
      </c>
      <c r="M68" s="50">
        <f>'5000 и 5001 ДВН'!M68+'5000 и 5001 ПО'!M68</f>
        <v>0</v>
      </c>
      <c r="N68" s="50">
        <f>'5000 и 5001 ДВН'!N68+'5000 и 5001 ПО'!N68</f>
        <v>0</v>
      </c>
    </row>
    <row r="69" spans="2:27" ht="45.75" thickBot="1" x14ac:dyDescent="0.3">
      <c r="B69" s="61" t="s">
        <v>397</v>
      </c>
      <c r="C69" s="67" t="s">
        <v>486</v>
      </c>
      <c r="D69" s="81"/>
      <c r="E69" s="87">
        <f>SUM(E70+E74+E76+E77)</f>
        <v>255</v>
      </c>
      <c r="F69" s="50">
        <f t="shared" ref="F69:N69" si="9">SUM(F70+F74+F76+F77)</f>
        <v>22</v>
      </c>
      <c r="G69" s="50">
        <f t="shared" si="9"/>
        <v>125</v>
      </c>
      <c r="H69" s="50">
        <f t="shared" si="9"/>
        <v>130</v>
      </c>
      <c r="I69" s="87">
        <f t="shared" si="9"/>
        <v>3</v>
      </c>
      <c r="J69" s="87">
        <f t="shared" si="9"/>
        <v>3</v>
      </c>
      <c r="K69" s="50">
        <f t="shared" si="9"/>
        <v>0</v>
      </c>
      <c r="L69" s="50">
        <f t="shared" si="9"/>
        <v>0</v>
      </c>
      <c r="M69" s="50">
        <f t="shared" si="9"/>
        <v>3</v>
      </c>
      <c r="N69" s="50">
        <f t="shared" si="9"/>
        <v>3</v>
      </c>
      <c r="O69" s="417" t="str">
        <f>IF(Q69&gt;0,"стр.10.1 &lt; суммы строк(10.1.1+10.1.2+10.1.3) по графе "&amp;P69,"ОК")</f>
        <v>ОК</v>
      </c>
      <c r="P69" s="266" t="str">
        <f>IF(Q69&gt;0,INDEX($F$6:$N$6,1,Q69),CHAR(151))</f>
        <v>—</v>
      </c>
      <c r="Q69" s="416">
        <f>IF(ISERROR(MATCH(FALSE,S69:AA69,0)),0,MATCH(FALSE,S69:AA69,0))</f>
        <v>0</v>
      </c>
      <c r="R69" s="419" t="s">
        <v>790</v>
      </c>
      <c r="S69" s="47" t="b">
        <f>F70&gt;=SUM(F71:F73)</f>
        <v>1</v>
      </c>
      <c r="T69" s="47" t="b">
        <f t="shared" ref="T69:AA69" si="10">G70&gt;=SUM(G71:G73)</f>
        <v>1</v>
      </c>
      <c r="U69" s="47" t="b">
        <f t="shared" si="10"/>
        <v>1</v>
      </c>
      <c r="V69" s="47" t="b">
        <f t="shared" si="10"/>
        <v>1</v>
      </c>
      <c r="W69" s="47" t="b">
        <f t="shared" si="10"/>
        <v>1</v>
      </c>
      <c r="X69" s="47" t="b">
        <f t="shared" si="10"/>
        <v>1</v>
      </c>
      <c r="Y69" s="47" t="b">
        <f t="shared" si="10"/>
        <v>1</v>
      </c>
      <c r="Z69" s="47" t="b">
        <f t="shared" si="10"/>
        <v>1</v>
      </c>
      <c r="AA69" s="47" t="b">
        <f t="shared" si="10"/>
        <v>1</v>
      </c>
    </row>
    <row r="70" spans="2:27" ht="16.5" thickBot="1" x14ac:dyDescent="0.3">
      <c r="B70" s="82" t="s">
        <v>389</v>
      </c>
      <c r="C70" s="67" t="s">
        <v>272</v>
      </c>
      <c r="D70" s="57" t="s">
        <v>390</v>
      </c>
      <c r="E70" s="87">
        <f>'5000 и 5001 ДВН'!E70+'5000 и 5001 ПО'!E70</f>
        <v>50</v>
      </c>
      <c r="F70" s="50">
        <f>'5000 и 5001 ДВН'!F70+'5000 и 5001 ПО'!F70</f>
        <v>17</v>
      </c>
      <c r="G70" s="50">
        <f>'5000 и 5001 ДВН'!G70+'5000 и 5001 ПО'!G70</f>
        <v>25</v>
      </c>
      <c r="H70" s="50">
        <f>'5000 и 5001 ДВН'!H70+'5000 и 5001 ПО'!H70</f>
        <v>25</v>
      </c>
      <c r="I70" s="87">
        <f>'5000 и 5001 ДВН'!I70+'5000 и 5001 ПО'!I70</f>
        <v>3</v>
      </c>
      <c r="J70" s="87">
        <f>'5000 и 5001 ДВН'!J70+'5000 и 5001 ПО'!J70</f>
        <v>3</v>
      </c>
      <c r="K70" s="50">
        <f>'5000 и 5001 ДВН'!K70+'5000 и 5001 ПО'!K70</f>
        <v>0</v>
      </c>
      <c r="L70" s="50">
        <f>'5000 и 5001 ДВН'!L70+'5000 и 5001 ПО'!L70</f>
        <v>0</v>
      </c>
      <c r="M70" s="50">
        <f>'5000 и 5001 ДВН'!M70+'5000 и 5001 ПО'!M70</f>
        <v>3</v>
      </c>
      <c r="N70" s="50">
        <f>'5000 и 5001 ДВН'!N70+'5000 и 5001 ПО'!N70</f>
        <v>3</v>
      </c>
    </row>
    <row r="71" spans="2:27" ht="63.75" thickBot="1" x14ac:dyDescent="0.3">
      <c r="B71" s="75" t="s">
        <v>391</v>
      </c>
      <c r="C71" s="67" t="s">
        <v>487</v>
      </c>
      <c r="D71" s="78" t="s">
        <v>392</v>
      </c>
      <c r="E71" s="87">
        <f>'5000 и 5001 ДВН'!E71+'5000 и 5001 ПО'!E71</f>
        <v>5</v>
      </c>
      <c r="F71" s="50">
        <f>'5000 и 5001 ДВН'!F71+'5000 и 5001 ПО'!F71</f>
        <v>3</v>
      </c>
      <c r="G71" s="50">
        <f>'5000 и 5001 ДВН'!G71+'5000 и 5001 ПО'!G71</f>
        <v>2</v>
      </c>
      <c r="H71" s="50">
        <f>'5000 и 5001 ДВН'!H71+'5000 и 5001 ПО'!H71</f>
        <v>3</v>
      </c>
      <c r="I71" s="87">
        <f>'5000 и 5001 ДВН'!I71+'5000 и 5001 ПО'!I71</f>
        <v>3</v>
      </c>
      <c r="J71" s="87">
        <f>'5000 и 5001 ДВН'!J71+'5000 и 5001 ПО'!J71</f>
        <v>3</v>
      </c>
      <c r="K71" s="50">
        <f>'5000 и 5001 ДВН'!K71+'5000 и 5001 ПО'!K71</f>
        <v>0</v>
      </c>
      <c r="L71" s="50">
        <f>'5000 и 5001 ДВН'!L71+'5000 и 5001 ПО'!L71</f>
        <v>0</v>
      </c>
      <c r="M71" s="50">
        <f>'5000 и 5001 ДВН'!M71+'5000 и 5001 ПО'!M71</f>
        <v>3</v>
      </c>
      <c r="N71" s="50">
        <f>'5000 и 5001 ДВН'!N71+'5000 и 5001 ПО'!N71</f>
        <v>3</v>
      </c>
    </row>
    <row r="72" spans="2:27" ht="32.25" thickBot="1" x14ac:dyDescent="0.3">
      <c r="B72" s="75" t="s">
        <v>393</v>
      </c>
      <c r="C72" s="67" t="s">
        <v>488</v>
      </c>
      <c r="D72" s="78" t="s">
        <v>394</v>
      </c>
      <c r="E72" s="87">
        <f>'5000 и 5001 ДВН'!E72+'5000 и 5001 ПО'!E72</f>
        <v>0</v>
      </c>
      <c r="F72" s="50">
        <f>'5000 и 5001 ДВН'!F72+'5000 и 5001 ПО'!F72</f>
        <v>0</v>
      </c>
      <c r="G72" s="50">
        <f>'5000 и 5001 ДВН'!G72+'5000 и 5001 ПО'!G72</f>
        <v>0</v>
      </c>
      <c r="H72" s="50">
        <f>'5000 и 5001 ДВН'!H72+'5000 и 5001 ПО'!H72</f>
        <v>0</v>
      </c>
      <c r="I72" s="87">
        <f>'5000 и 5001 ДВН'!I72+'5000 и 5001 ПО'!I72</f>
        <v>0</v>
      </c>
      <c r="J72" s="87">
        <f>'5000 и 5001 ДВН'!J72+'5000 и 5001 ПО'!J72</f>
        <v>0</v>
      </c>
      <c r="K72" s="50">
        <f>'5000 и 5001 ДВН'!K72+'5000 и 5001 ПО'!K72</f>
        <v>0</v>
      </c>
      <c r="L72" s="50">
        <f>'5000 и 5001 ДВН'!L72+'5000 и 5001 ПО'!L72</f>
        <v>0</v>
      </c>
      <c r="M72" s="50">
        <f>'5000 и 5001 ДВН'!M72+'5000 и 5001 ПО'!M72</f>
        <v>0</v>
      </c>
      <c r="N72" s="50">
        <f>'5000 и 5001 ДВН'!N72+'5000 и 5001 ПО'!N72</f>
        <v>0</v>
      </c>
    </row>
    <row r="73" spans="2:27" ht="32.25" thickBot="1" x14ac:dyDescent="0.3">
      <c r="B73" s="83" t="s">
        <v>395</v>
      </c>
      <c r="C73" s="67" t="s">
        <v>489</v>
      </c>
      <c r="D73" s="74" t="s">
        <v>396</v>
      </c>
      <c r="E73" s="87">
        <f>'5000 и 5001 ДВН'!E73+'5000 и 5001 ПО'!E73</f>
        <v>0</v>
      </c>
      <c r="F73" s="50">
        <f>'5000 и 5001 ДВН'!F73+'5000 и 5001 ПО'!F73</f>
        <v>0</v>
      </c>
      <c r="G73" s="50">
        <f>'5000 и 5001 ДВН'!G73+'5000 и 5001 ПО'!G73</f>
        <v>0</v>
      </c>
      <c r="H73" s="50">
        <f>'5000 и 5001 ДВН'!H73+'5000 и 5001 ПО'!H73</f>
        <v>0</v>
      </c>
      <c r="I73" s="87">
        <f>'5000 и 5001 ДВН'!I73+'5000 и 5001 ПО'!I73</f>
        <v>0</v>
      </c>
      <c r="J73" s="87">
        <f>'5000 и 5001 ДВН'!J73+'5000 и 5001 ПО'!J73</f>
        <v>0</v>
      </c>
      <c r="K73" s="50">
        <f>'5000 и 5001 ДВН'!K73+'5000 и 5001 ПО'!K73</f>
        <v>0</v>
      </c>
      <c r="L73" s="50">
        <f>'5000 и 5001 ДВН'!L73+'5000 и 5001 ПО'!L73</f>
        <v>0</v>
      </c>
      <c r="M73" s="50">
        <f>'5000 и 5001 ДВН'!M73+'5000 и 5001 ПО'!M73</f>
        <v>0</v>
      </c>
      <c r="N73" s="50">
        <f>'5000 и 5001 ДВН'!N73+'5000 и 5001 ПО'!N73</f>
        <v>0</v>
      </c>
    </row>
    <row r="74" spans="2:27" ht="32.25" thickBot="1" x14ac:dyDescent="0.3">
      <c r="B74" s="82" t="s">
        <v>398</v>
      </c>
      <c r="C74" s="67" t="s">
        <v>490</v>
      </c>
      <c r="D74" s="78" t="s">
        <v>399</v>
      </c>
      <c r="E74" s="87">
        <f>'5000 и 5001 ДВН'!E74+'5000 и 5001 ПО'!E74</f>
        <v>0</v>
      </c>
      <c r="F74" s="50">
        <f>'5000 и 5001 ДВН'!F74+'5000 и 5001 ПО'!F74</f>
        <v>0</v>
      </c>
      <c r="G74" s="50">
        <f>'5000 и 5001 ДВН'!G74+'5000 и 5001 ПО'!G74</f>
        <v>0</v>
      </c>
      <c r="H74" s="50">
        <f>'5000 и 5001 ДВН'!H74+'5000 и 5001 ПО'!H74</f>
        <v>0</v>
      </c>
      <c r="I74" s="87">
        <f>'5000 и 5001 ДВН'!I74+'5000 и 5001 ПО'!I74</f>
        <v>0</v>
      </c>
      <c r="J74" s="87">
        <f>'5000 и 5001 ДВН'!J74+'5000 и 5001 ПО'!J74</f>
        <v>0</v>
      </c>
      <c r="K74" s="50">
        <f>'5000 и 5001 ДВН'!K74+'5000 и 5001 ПО'!K74</f>
        <v>0</v>
      </c>
      <c r="L74" s="50">
        <f>'5000 и 5001 ДВН'!L74+'5000 и 5001 ПО'!L74</f>
        <v>0</v>
      </c>
      <c r="M74" s="50">
        <f>'5000 и 5001 ДВН'!M74+'5000 и 5001 ПО'!M74</f>
        <v>0</v>
      </c>
      <c r="N74" s="50">
        <f>'5000 и 5001 ДВН'!N74+'5000 и 5001 ПО'!N74</f>
        <v>0</v>
      </c>
      <c r="O74" s="417" t="str">
        <f>IF(Q74&gt;0,"стр.11.0 &lt; стр.11.1 по графе "&amp;P74,"ОК")</f>
        <v>ОК</v>
      </c>
      <c r="P74" s="266" t="str">
        <f>IF(Q74&gt;0,INDEX($F$6:$N$6,1,Q74),CHAR(151))</f>
        <v>—</v>
      </c>
      <c r="Q74" s="416">
        <f>IF(ISERROR(MATCH(FALSE,S74:AA74,0)),0,MATCH(FALSE,S74:AA74,0))</f>
        <v>0</v>
      </c>
      <c r="R74" s="418" t="s">
        <v>791</v>
      </c>
      <c r="S74" s="47" t="b">
        <f>F74&gt;=F75</f>
        <v>1</v>
      </c>
      <c r="T74" s="47" t="b">
        <f t="shared" ref="T74:AA74" si="11">G74&gt;=G75</f>
        <v>1</v>
      </c>
      <c r="U74" s="47" t="b">
        <f t="shared" si="11"/>
        <v>1</v>
      </c>
      <c r="V74" s="47" t="b">
        <f t="shared" si="11"/>
        <v>1</v>
      </c>
      <c r="W74" s="47" t="b">
        <f t="shared" si="11"/>
        <v>1</v>
      </c>
      <c r="X74" s="47" t="b">
        <f t="shared" si="11"/>
        <v>1</v>
      </c>
      <c r="Y74" s="47" t="b">
        <f t="shared" si="11"/>
        <v>1</v>
      </c>
      <c r="Z74" s="47" t="b">
        <f t="shared" si="11"/>
        <v>1</v>
      </c>
      <c r="AA74" s="47" t="b">
        <f t="shared" si="11"/>
        <v>1</v>
      </c>
    </row>
    <row r="75" spans="2:27" s="5" customFormat="1" ht="32.25" thickBot="1" x14ac:dyDescent="0.3">
      <c r="B75" s="66" t="s">
        <v>218</v>
      </c>
      <c r="C75" s="67" t="s">
        <v>274</v>
      </c>
      <c r="D75" s="39" t="s">
        <v>219</v>
      </c>
      <c r="E75" s="87">
        <f>'5000 и 5001 ДВН'!E75+'5000 и 5001 ПО'!E75</f>
        <v>0</v>
      </c>
      <c r="F75" s="48">
        <f>'5000 и 5001 ДВН'!F75+'5000 и 5001 ПО'!F75</f>
        <v>0</v>
      </c>
      <c r="G75" s="48">
        <f>'5000 и 5001 ДВН'!G75+'5000 и 5001 ПО'!G75</f>
        <v>0</v>
      </c>
      <c r="H75" s="48">
        <f>'5000 и 5001 ДВН'!H75+'5000 и 5001 ПО'!H75</f>
        <v>0</v>
      </c>
      <c r="I75" s="88">
        <f>'5000 и 5001 ДВН'!I75+'5000 и 5001 ПО'!I75</f>
        <v>0</v>
      </c>
      <c r="J75" s="88">
        <f>'5000 и 5001 ДВН'!J75+'5000 и 5001 ПО'!J75</f>
        <v>0</v>
      </c>
      <c r="K75" s="48">
        <f>'5000 и 5001 ДВН'!K75+'5000 и 5001 ПО'!K75</f>
        <v>0</v>
      </c>
      <c r="L75" s="48">
        <f>'5000 и 5001 ДВН'!L75+'5000 и 5001 ПО'!L75</f>
        <v>0</v>
      </c>
      <c r="M75" s="48">
        <f>'5000 и 5001 ДВН'!M75+'5000 и 5001 ПО'!M75</f>
        <v>0</v>
      </c>
      <c r="N75" s="49">
        <f>'5000 и 5001 ДВН'!N75+'5000 и 5001 ПО'!N75</f>
        <v>0</v>
      </c>
      <c r="S75"/>
    </row>
    <row r="76" spans="2:27" ht="16.5" thickBot="1" x14ac:dyDescent="0.3">
      <c r="B76" s="82" t="s">
        <v>400</v>
      </c>
      <c r="C76" s="67" t="s">
        <v>491</v>
      </c>
      <c r="D76" s="78" t="s">
        <v>401</v>
      </c>
      <c r="E76" s="87">
        <f>'5000 и 5001 ДВН'!E76+'5000 и 5001 ПО'!E76</f>
        <v>0</v>
      </c>
      <c r="F76" s="50">
        <f>'5000 и 5001 ДВН'!F76+'5000 и 5001 ПО'!F76</f>
        <v>0</v>
      </c>
      <c r="G76" s="50">
        <f>'5000 и 5001 ДВН'!G76+'5000 и 5001 ПО'!G76</f>
        <v>0</v>
      </c>
      <c r="H76" s="50">
        <f>'5000 и 5001 ДВН'!H76+'5000 и 5001 ПО'!H76</f>
        <v>0</v>
      </c>
      <c r="I76" s="87">
        <f>'5000 и 5001 ДВН'!I76+'5000 и 5001 ПО'!I76</f>
        <v>0</v>
      </c>
      <c r="J76" s="87">
        <f>'5000 и 5001 ДВН'!J76+'5000 и 5001 ПО'!J76</f>
        <v>0</v>
      </c>
      <c r="K76" s="50">
        <f>'5000 и 5001 ДВН'!K76+'5000 и 5001 ПО'!K76</f>
        <v>0</v>
      </c>
      <c r="L76" s="50">
        <f>'5000 и 5001 ДВН'!L76+'5000 и 5001 ПО'!L76</f>
        <v>0</v>
      </c>
      <c r="M76" s="50">
        <f>'5000 и 5001 ДВН'!M76+'5000 и 5001 ПО'!M76</f>
        <v>0</v>
      </c>
      <c r="N76" s="50">
        <f>'5000 и 5001 ДВН'!N76+'5000 и 5001 ПО'!N76</f>
        <v>0</v>
      </c>
    </row>
    <row r="77" spans="2:27" ht="16.5" thickBot="1" x14ac:dyDescent="0.3">
      <c r="B77" s="82" t="s">
        <v>402</v>
      </c>
      <c r="C77" s="67" t="s">
        <v>492</v>
      </c>
      <c r="D77" s="84" t="s">
        <v>403</v>
      </c>
      <c r="E77" s="87">
        <f>'5000 и 5001 ДВН'!E77+'5000 и 5001 ПО'!E77</f>
        <v>205</v>
      </c>
      <c r="F77" s="50">
        <f>'5000 и 5001 ДВН'!F77+'5000 и 5001 ПО'!F77</f>
        <v>5</v>
      </c>
      <c r="G77" s="50">
        <f>'5000 и 5001 ДВН'!G77+'5000 и 5001 ПО'!G77</f>
        <v>100</v>
      </c>
      <c r="H77" s="50">
        <f>'5000 и 5001 ДВН'!H77+'5000 и 5001 ПО'!H77</f>
        <v>105</v>
      </c>
      <c r="I77" s="87">
        <f>'5000 и 5001 ДВН'!I77+'5000 и 5001 ПО'!I77</f>
        <v>0</v>
      </c>
      <c r="J77" s="87">
        <f>'5000 и 5001 ДВН'!J77+'5000 и 5001 ПО'!J77</f>
        <v>0</v>
      </c>
      <c r="K77" s="50">
        <f>'5000 и 5001 ДВН'!K77+'5000 и 5001 ПО'!K77</f>
        <v>0</v>
      </c>
      <c r="L77" s="50">
        <f>'5000 и 5001 ДВН'!L77+'5000 и 5001 ПО'!L77</f>
        <v>0</v>
      </c>
      <c r="M77" s="50">
        <f>'5000 и 5001 ДВН'!M77+'5000 и 5001 ПО'!M77</f>
        <v>0</v>
      </c>
      <c r="N77" s="50">
        <f>'5000 и 5001 ДВН'!N77+'5000 и 5001 ПО'!N77</f>
        <v>0</v>
      </c>
    </row>
    <row r="78" spans="2:27" ht="32.25" thickBot="1" x14ac:dyDescent="0.3">
      <c r="B78" s="85" t="s">
        <v>404</v>
      </c>
      <c r="C78" s="196"/>
      <c r="D78" s="86" t="s">
        <v>405</v>
      </c>
      <c r="E78" s="28">
        <f>E7+E9+E35+E37+E42+E44+E48+E60+E64+E69</f>
        <v>2277</v>
      </c>
      <c r="F78" s="28">
        <f t="shared" ref="F78:N78" si="12">F7+F9+F35+F37+F42+F44+F48+F60+F64+F69</f>
        <v>1040</v>
      </c>
      <c r="G78" s="28">
        <f t="shared" si="12"/>
        <v>818</v>
      </c>
      <c r="H78" s="28">
        <f t="shared" si="12"/>
        <v>1459</v>
      </c>
      <c r="I78" s="28">
        <f t="shared" si="12"/>
        <v>17</v>
      </c>
      <c r="J78" s="28">
        <f t="shared" si="12"/>
        <v>17</v>
      </c>
      <c r="K78" s="28">
        <f t="shared" si="12"/>
        <v>13</v>
      </c>
      <c r="L78" s="28">
        <f t="shared" si="12"/>
        <v>13</v>
      </c>
      <c r="M78" s="28">
        <f t="shared" si="12"/>
        <v>4</v>
      </c>
      <c r="N78" s="28">
        <f t="shared" si="12"/>
        <v>4</v>
      </c>
      <c r="O78" s="417" t="str">
        <f>IF(Q78&gt;0,"стр.14.0 ≠ стр.15.0 по графе "&amp;P78,"ОК")</f>
        <v>ОК</v>
      </c>
      <c r="P78" s="266" t="str">
        <f>IF(Q78&gt;0,INDEX($F$6:$N$6,1,Q78),CHAR(151))</f>
        <v>—</v>
      </c>
      <c r="Q78" s="416">
        <f>IF(ISERROR(MATCH(FALSE,S78:AA78,0)),0,MATCH(FALSE,S78:AA78,0))</f>
        <v>0</v>
      </c>
      <c r="R78" s="418" t="s">
        <v>813</v>
      </c>
      <c r="S78" s="334" t="b">
        <v>1</v>
      </c>
      <c r="T78" s="334" t="b">
        <v>1</v>
      </c>
      <c r="U78" s="334" t="b">
        <v>1</v>
      </c>
      <c r="V78" s="47" t="b">
        <f t="shared" ref="V78:AA78" si="13">I78=I79</f>
        <v>1</v>
      </c>
      <c r="W78" s="47" t="b">
        <f t="shared" si="13"/>
        <v>1</v>
      </c>
      <c r="X78" s="47" t="b">
        <f t="shared" si="13"/>
        <v>1</v>
      </c>
      <c r="Y78" s="47" t="b">
        <f t="shared" si="13"/>
        <v>1</v>
      </c>
      <c r="Z78" s="47" t="b">
        <f t="shared" si="13"/>
        <v>1</v>
      </c>
      <c r="AA78" s="47" t="b">
        <f t="shared" si="13"/>
        <v>1</v>
      </c>
    </row>
    <row r="79" spans="2:27" ht="16.5" thickBot="1" x14ac:dyDescent="0.3">
      <c r="B79" s="435" t="s">
        <v>801</v>
      </c>
      <c r="C79" s="426"/>
      <c r="D79" s="426"/>
      <c r="E79" s="426"/>
      <c r="F79" s="426"/>
      <c r="G79" s="426"/>
      <c r="H79" s="426"/>
      <c r="I79" s="434">
        <f>'ДВН-124н'!L8+'профосмотры 124н'!L8</f>
        <v>17</v>
      </c>
      <c r="J79" s="453">
        <f>'ДВН-124н'!U18+'профосмотры 124н'!U16</f>
        <v>17</v>
      </c>
      <c r="K79" s="434">
        <f>'5000 и 5001 ДВН'!K79+'5000 и 5001 ПО'!K79</f>
        <v>13</v>
      </c>
      <c r="L79" s="434">
        <f>'5000 и 5001 ДВН'!L79+'5000 и 5001 ПО'!L79</f>
        <v>13</v>
      </c>
      <c r="M79" s="434">
        <f>'5000 и 5001 ДВН'!M79+'5000 и 5001 ПО'!M79</f>
        <v>4</v>
      </c>
      <c r="N79" s="434">
        <f>'5000 и 5001 ДВН'!N79+'5000 и 5001 ПО'!N79</f>
        <v>4</v>
      </c>
    </row>
    <row r="80" spans="2:27" s="5" customFormat="1" ht="16.5" thickBot="1" x14ac:dyDescent="0.3">
      <c r="B80" s="99" t="s">
        <v>276</v>
      </c>
      <c r="C80" s="98"/>
      <c r="D80" s="98"/>
      <c r="E80" s="98"/>
      <c r="F80" s="98"/>
      <c r="G80" s="98"/>
      <c r="H80" s="98"/>
      <c r="I80" s="98"/>
      <c r="J80" s="98"/>
      <c r="K80" s="98" t="s">
        <v>318</v>
      </c>
      <c r="L80" s="98"/>
      <c r="M80" s="98"/>
      <c r="N80" s="98"/>
      <c r="S80"/>
    </row>
    <row r="81" spans="2:19" s="5" customFormat="1" ht="31.5" customHeight="1" thickBot="1" x14ac:dyDescent="0.3">
      <c r="B81" s="866" t="s">
        <v>277</v>
      </c>
      <c r="C81" s="866"/>
      <c r="D81" s="866"/>
      <c r="E81" s="866"/>
      <c r="F81" s="866"/>
      <c r="G81" s="866"/>
      <c r="H81" s="866"/>
      <c r="I81" s="866"/>
      <c r="J81" s="866"/>
      <c r="K81" s="866"/>
      <c r="L81" s="866"/>
      <c r="M81" s="28">
        <f>'5000 и 5001 ДВН'!M81+'5000 и 5001 ПО'!M81</f>
        <v>0</v>
      </c>
      <c r="N81" s="105" t="s">
        <v>51</v>
      </c>
      <c r="S81"/>
    </row>
    <row r="82" spans="2:19" s="5" customFormat="1" x14ac:dyDescent="0.25"/>
    <row r="84" spans="2:19" x14ac:dyDescent="0.25">
      <c r="B84" s="26" t="s">
        <v>406</v>
      </c>
    </row>
  </sheetData>
  <sheetProtection password="DB70" sheet="1" objects="1" scenarios="1" autoFilter="0"/>
  <mergeCells count="21">
    <mergeCell ref="D30:D32"/>
    <mergeCell ref="D3:D5"/>
    <mergeCell ref="B81:L81"/>
    <mergeCell ref="D21:D22"/>
    <mergeCell ref="E4:F4"/>
    <mergeCell ref="G4:H4"/>
    <mergeCell ref="I4:J4"/>
    <mergeCell ref="I3:N3"/>
    <mergeCell ref="D19:D20"/>
    <mergeCell ref="C3:C5"/>
    <mergeCell ref="D27:D29"/>
    <mergeCell ref="E3:H3"/>
    <mergeCell ref="D33:D34"/>
    <mergeCell ref="K4:L4"/>
    <mergeCell ref="B1:N1"/>
    <mergeCell ref="D11:D12"/>
    <mergeCell ref="D13:D14"/>
    <mergeCell ref="D15:D16"/>
    <mergeCell ref="D17:D18"/>
    <mergeCell ref="M4:N4"/>
    <mergeCell ref="B3:B5"/>
  </mergeCells>
  <conditionalFormatting sqref="O7">
    <cfRule type="expression" dxfId="96" priority="16" stopIfTrue="1">
      <formula>O7&lt;&gt;"ОК"</formula>
    </cfRule>
  </conditionalFormatting>
  <conditionalFormatting sqref="O8">
    <cfRule type="expression" dxfId="95" priority="15" stopIfTrue="1">
      <formula>O8&lt;&gt;"ОК"</formula>
    </cfRule>
  </conditionalFormatting>
  <conditionalFormatting sqref="O9">
    <cfRule type="expression" dxfId="94" priority="14" stopIfTrue="1">
      <formula>O9&lt;&gt;"ОК"</formula>
    </cfRule>
  </conditionalFormatting>
  <conditionalFormatting sqref="O10">
    <cfRule type="expression" dxfId="93" priority="13" stopIfTrue="1">
      <formula>O10&lt;&gt;"ОК"</formula>
    </cfRule>
  </conditionalFormatting>
  <conditionalFormatting sqref="O11">
    <cfRule type="expression" dxfId="92" priority="12" stopIfTrue="1">
      <formula>O11&lt;&gt;"ОК"</formula>
    </cfRule>
  </conditionalFormatting>
  <conditionalFormatting sqref="O12">
    <cfRule type="expression" dxfId="91" priority="11" stopIfTrue="1">
      <formula>O12&lt;&gt;"ОК"</formula>
    </cfRule>
  </conditionalFormatting>
  <conditionalFormatting sqref="O35">
    <cfRule type="expression" dxfId="90" priority="10" stopIfTrue="1">
      <formula>O35&lt;&gt;"ОК"</formula>
    </cfRule>
  </conditionalFormatting>
  <conditionalFormatting sqref="O37">
    <cfRule type="expression" dxfId="89" priority="9" stopIfTrue="1">
      <formula>O37&lt;&gt;"ОК"</formula>
    </cfRule>
  </conditionalFormatting>
  <conditionalFormatting sqref="O42">
    <cfRule type="expression" dxfId="88" priority="8" stopIfTrue="1">
      <formula>O42&lt;&gt;"ОК"</formula>
    </cfRule>
  </conditionalFormatting>
  <conditionalFormatting sqref="O44">
    <cfRule type="expression" dxfId="87" priority="7" stopIfTrue="1">
      <formula>O44&lt;&gt;"ОК"</formula>
    </cfRule>
  </conditionalFormatting>
  <conditionalFormatting sqref="O48">
    <cfRule type="expression" dxfId="86" priority="6" stopIfTrue="1">
      <formula>O48&lt;&gt;"ОК"</formula>
    </cfRule>
  </conditionalFormatting>
  <conditionalFormatting sqref="O60">
    <cfRule type="expression" dxfId="85" priority="5" stopIfTrue="1">
      <formula>O60&lt;&gt;"ОК"</formula>
    </cfRule>
  </conditionalFormatting>
  <conditionalFormatting sqref="O64">
    <cfRule type="expression" dxfId="84" priority="4" stopIfTrue="1">
      <formula>O64&lt;&gt;"ОК"</formula>
    </cfRule>
  </conditionalFormatting>
  <conditionalFormatting sqref="O69">
    <cfRule type="expression" dxfId="83" priority="3" stopIfTrue="1">
      <formula>O69&lt;&gt;"ОК"</formula>
    </cfRule>
  </conditionalFormatting>
  <conditionalFormatting sqref="O74">
    <cfRule type="expression" dxfId="82" priority="2" stopIfTrue="1">
      <formula>O74&lt;&gt;"ОК"</formula>
    </cfRule>
  </conditionalFormatting>
  <conditionalFormatting sqref="O78">
    <cfRule type="expression" dxfId="81" priority="1" stopIfTrue="1">
      <formula>O78&lt;&gt;"ОК"</formula>
    </cfRule>
  </conditionalFormatting>
  <hyperlinks>
    <hyperlink ref="D3" r:id="rId1" display="http://ivo.garant.ru/document/redirect/4100000/0"/>
    <hyperlink ref="K80" r:id="rId2" display="http://ivo.garant.ru/document/redirect/179222/792"/>
  </hyperlinks>
  <pageMargins left="0.7" right="0.7" top="0.75" bottom="0.75" header="0.3" footer="0.3"/>
  <pageSetup paperSize="9" orientation="landscape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Включите макросы</vt:lpstr>
      <vt:lpstr>Названия_организаций</vt:lpstr>
      <vt:lpstr>Названия_учреждений</vt:lpstr>
      <vt:lpstr>'6000-6010'!Область_печати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Семенова</dc:creator>
  <cp:lastModifiedBy>ZavOrgMetod</cp:lastModifiedBy>
  <cp:lastPrinted>2021-12-27T04:34:22Z</cp:lastPrinted>
  <dcterms:created xsi:type="dcterms:W3CDTF">2006-09-16T00:00:00Z</dcterms:created>
  <dcterms:modified xsi:type="dcterms:W3CDTF">2022-01-10T10:10:25Z</dcterms:modified>
</cp:coreProperties>
</file>