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-120" yWindow="-120" windowWidth="19440" windowHeight="15600" tabRatio="752"/>
  </bookViews>
  <sheets>
    <sheet name="профосмотры" sheetId="1" r:id="rId1"/>
    <sheet name="15-17 лет" sheetId="5" r:id="rId2"/>
    <sheet name="Нац.проект «Здравоохранение»" sheetId="6" r:id="rId3"/>
    <sheet name="2510 -Дети сироты" sheetId="7" r:id="rId4"/>
    <sheet name="2510-дети-СВОД" sheetId="8" r:id="rId5"/>
    <sheet name="таб. 2511 ф. 30" sheetId="9" r:id="rId6"/>
    <sheet name="Help" sheetId="4" state="veryHidden" r:id="rId7"/>
  </sheets>
  <definedNames>
    <definedName name="Годы">Help!$J$1:$J$12</definedName>
    <definedName name="Месяцы">Help!$H$1:$H$12</definedName>
    <definedName name="Названия_организаций">Help!$A$1:$A$46</definedName>
    <definedName name="Числа">Help!$G$1:$G$31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" l="1"/>
  <c r="D15" i="9"/>
  <c r="D14" i="9"/>
  <c r="B4" i="9"/>
  <c r="I2" i="9"/>
  <c r="H2" i="9"/>
  <c r="G2" i="9"/>
  <c r="D18" i="8"/>
  <c r="D17" i="8"/>
  <c r="D16" i="8"/>
  <c r="B4" i="8"/>
  <c r="I2" i="8"/>
  <c r="H2" i="8"/>
  <c r="G2" i="8"/>
  <c r="D18" i="7"/>
  <c r="D17" i="7"/>
  <c r="D16" i="7"/>
  <c r="B4" i="7"/>
  <c r="I2" i="7"/>
  <c r="H2" i="7"/>
  <c r="G2" i="7"/>
  <c r="C18" i="6"/>
  <c r="C17" i="6"/>
  <c r="C16" i="6"/>
  <c r="A5" i="6"/>
  <c r="H3" i="6"/>
  <c r="G3" i="6"/>
  <c r="F3" i="6"/>
  <c r="F26" i="5"/>
  <c r="F25" i="5"/>
  <c r="F24" i="5"/>
  <c r="A9" i="5"/>
  <c r="I7" i="5"/>
  <c r="H7" i="5"/>
  <c r="G7" i="5"/>
  <c r="AB30" i="6" l="1"/>
  <c r="AA30" i="6"/>
  <c r="AB29" i="6"/>
  <c r="AA29" i="6"/>
  <c r="AB28" i="6"/>
  <c r="AA28" i="6"/>
  <c r="AB26" i="6"/>
  <c r="AA26" i="6"/>
  <c r="AB24" i="6"/>
  <c r="AA24" i="6"/>
  <c r="AB23" i="6"/>
  <c r="AA23" i="6"/>
  <c r="AB22" i="6"/>
  <c r="AA22" i="6"/>
  <c r="AB21" i="6"/>
  <c r="AA21" i="6"/>
  <c r="Z21" i="6" l="1"/>
  <c r="Y21" i="6" s="1"/>
  <c r="Z22" i="6"/>
  <c r="Y22" i="6" s="1"/>
  <c r="Z30" i="6"/>
  <c r="W30" i="6" s="1"/>
  <c r="Z23" i="6"/>
  <c r="Y23" i="6" s="1"/>
  <c r="Z26" i="6"/>
  <c r="Y26" i="6" s="1"/>
  <c r="Z29" i="6"/>
  <c r="Y29" i="6" s="1"/>
  <c r="Z24" i="6"/>
  <c r="Y24" i="6" s="1"/>
  <c r="Z28" i="6"/>
  <c r="Y28" i="6" s="1"/>
  <c r="W28" i="6" s="1"/>
  <c r="W21" i="6"/>
  <c r="M16" i="1"/>
  <c r="H16" i="1" s="1"/>
  <c r="M15" i="1"/>
  <c r="H15" i="1" s="1"/>
  <c r="M14" i="1"/>
  <c r="H14" i="1" s="1"/>
  <c r="M13" i="1"/>
  <c r="H13" i="1" s="1"/>
  <c r="M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L11" i="1"/>
  <c r="K11" i="1"/>
  <c r="J11" i="1"/>
  <c r="I11" i="1"/>
  <c r="G11" i="1"/>
  <c r="F11" i="1"/>
  <c r="E11" i="1"/>
  <c r="D11" i="1"/>
  <c r="C11" i="1"/>
  <c r="W29" i="6" l="1"/>
  <c r="Y30" i="6"/>
  <c r="M11" i="1"/>
  <c r="H11" i="1" s="1"/>
  <c r="H12" i="1"/>
  <c r="E11" i="6"/>
  <c r="AB14" i="6" l="1"/>
  <c r="AB13" i="6"/>
  <c r="E10" i="6"/>
  <c r="B11" i="6"/>
  <c r="B10" i="6"/>
  <c r="AA16" i="6" l="1"/>
  <c r="AA11" i="6"/>
  <c r="AA27" i="6"/>
  <c r="AA25" i="6"/>
  <c r="AA15" i="6"/>
  <c r="AB27" i="6"/>
  <c r="AB25" i="6"/>
  <c r="AB12" i="6"/>
  <c r="AA14" i="6"/>
  <c r="Z14" i="6" s="1"/>
  <c r="Y14" i="6" s="1"/>
  <c r="AA12" i="6"/>
  <c r="AA13" i="6"/>
  <c r="Z13" i="6" s="1"/>
  <c r="Y13" i="6" s="1"/>
  <c r="Z12" i="6" l="1"/>
  <c r="Y12" i="6" s="1"/>
  <c r="Z25" i="6"/>
  <c r="Y25" i="6" s="1"/>
  <c r="Z27" i="6"/>
  <c r="Y27" i="6" s="1"/>
  <c r="C5" i="5"/>
  <c r="W23" i="6"/>
  <c r="AB20" i="6"/>
  <c r="AA20" i="6"/>
  <c r="AB19" i="6"/>
  <c r="AA19" i="6"/>
  <c r="AB18" i="6"/>
  <c r="AB11" i="6"/>
  <c r="Z11" i="6" s="1"/>
  <c r="Y11" i="6" s="1"/>
  <c r="B15" i="5"/>
  <c r="C32" i="5" s="1"/>
  <c r="A15" i="5"/>
  <c r="B32" i="5" s="1"/>
  <c r="F30" i="1"/>
  <c r="F12" i="8" s="1"/>
  <c r="AG26" i="1"/>
  <c r="AH26" i="1"/>
  <c r="AI26" i="1"/>
  <c r="AJ26" i="1"/>
  <c r="AL26" i="1"/>
  <c r="AM26" i="1"/>
  <c r="AN26" i="1"/>
  <c r="AO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F26" i="1"/>
  <c r="D21" i="5"/>
  <c r="E33" i="5" s="1"/>
  <c r="F11" i="9" s="1"/>
  <c r="B21" i="5"/>
  <c r="C33" i="5" s="1"/>
  <c r="D11" i="9" s="1"/>
  <c r="AG27" i="1"/>
  <c r="AH27" i="1"/>
  <c r="AI27" i="1"/>
  <c r="AJ27" i="1"/>
  <c r="AL27" i="1"/>
  <c r="AM27" i="1"/>
  <c r="AN27" i="1"/>
  <c r="AO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F27" i="1"/>
  <c r="V11" i="7"/>
  <c r="U11" i="7"/>
  <c r="T11" i="7"/>
  <c r="S11" i="7"/>
  <c r="R11" i="7"/>
  <c r="Q32" i="5"/>
  <c r="P32" i="5" s="1"/>
  <c r="Q31" i="5"/>
  <c r="P31" i="5"/>
  <c r="O31" i="5" s="1"/>
  <c r="Q30" i="5"/>
  <c r="P30" i="5" s="1"/>
  <c r="Q27" i="5"/>
  <c r="P27" i="5" s="1"/>
  <c r="Q23" i="5"/>
  <c r="P23" i="5" s="1"/>
  <c r="Q22" i="5"/>
  <c r="P22" i="5" s="1"/>
  <c r="Q21" i="5"/>
  <c r="P21" i="5" s="1"/>
  <c r="O21" i="5" s="1"/>
  <c r="Q17" i="5"/>
  <c r="P17" i="5" s="1"/>
  <c r="B1" i="8"/>
  <c r="A1" i="8" s="1"/>
  <c r="B1" i="7"/>
  <c r="A1" i="7" s="1"/>
  <c r="B1" i="9"/>
  <c r="A1" i="9" s="1"/>
  <c r="BD25" i="1"/>
  <c r="BC25" i="1"/>
  <c r="BB25" i="1"/>
  <c r="BA25" i="1"/>
  <c r="AV25" i="1"/>
  <c r="AU25" i="1"/>
  <c r="AT25" i="1"/>
  <c r="AS25" i="1"/>
  <c r="AR25" i="1"/>
  <c r="AQ25" i="1"/>
  <c r="AO25" i="1"/>
  <c r="AN25" i="1"/>
  <c r="AM25" i="1"/>
  <c r="AL25" i="1"/>
  <c r="AJ25" i="1"/>
  <c r="AI25" i="1"/>
  <c r="AH25" i="1"/>
  <c r="AG25" i="1"/>
  <c r="AF25" i="1"/>
  <c r="AJ24" i="1"/>
  <c r="AI24" i="1"/>
  <c r="AH24" i="1"/>
  <c r="AG24" i="1"/>
  <c r="AF24" i="1"/>
  <c r="AJ22" i="1"/>
  <c r="AI22" i="1"/>
  <c r="AH22" i="1"/>
  <c r="AG22" i="1"/>
  <c r="AF22" i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A21" i="5"/>
  <c r="D15" i="5"/>
  <c r="E32" i="5" s="1"/>
  <c r="M31" i="1"/>
  <c r="M13" i="8" s="1"/>
  <c r="L31" i="1"/>
  <c r="L13" i="8" s="1"/>
  <c r="K31" i="1"/>
  <c r="K13" i="8" s="1"/>
  <c r="J31" i="1"/>
  <c r="J13" i="8" s="1"/>
  <c r="H31" i="1"/>
  <c r="H13" i="8" s="1"/>
  <c r="G31" i="1"/>
  <c r="G13" i="8" s="1"/>
  <c r="F31" i="1"/>
  <c r="F13" i="8" s="1"/>
  <c r="D31" i="1"/>
  <c r="D13" i="8" s="1"/>
  <c r="C31" i="1"/>
  <c r="C13" i="8" s="1"/>
  <c r="M30" i="1"/>
  <c r="M12" i="8" s="1"/>
  <c r="L30" i="1"/>
  <c r="L12" i="8" s="1"/>
  <c r="K30" i="1"/>
  <c r="K12" i="8" s="1"/>
  <c r="J30" i="1"/>
  <c r="J12" i="8" s="1"/>
  <c r="H30" i="1"/>
  <c r="H12" i="8" s="1"/>
  <c r="G30" i="1"/>
  <c r="G12" i="8" s="1"/>
  <c r="D30" i="1"/>
  <c r="D12" i="8" s="1"/>
  <c r="C30" i="1"/>
  <c r="C12" i="8" s="1"/>
  <c r="M29" i="1"/>
  <c r="M11" i="8" s="1"/>
  <c r="L29" i="1"/>
  <c r="L11" i="8" s="1"/>
  <c r="K29" i="1"/>
  <c r="K11" i="8" s="1"/>
  <c r="J29" i="1"/>
  <c r="H29" i="1"/>
  <c r="H11" i="8" s="1"/>
  <c r="G29" i="1"/>
  <c r="G11" i="8" s="1"/>
  <c r="F29" i="1"/>
  <c r="F11" i="8" s="1"/>
  <c r="D29" i="1"/>
  <c r="D11" i="8" s="1"/>
  <c r="C29" i="1"/>
  <c r="C11" i="8" s="1"/>
  <c r="M28" i="1"/>
  <c r="M10" i="8" s="1"/>
  <c r="L28" i="1"/>
  <c r="L10" i="8" s="1"/>
  <c r="K28" i="1"/>
  <c r="K10" i="8" s="1"/>
  <c r="J28" i="1"/>
  <c r="J10" i="8" s="1"/>
  <c r="H28" i="1"/>
  <c r="H10" i="8" s="1"/>
  <c r="G28" i="1"/>
  <c r="G10" i="8" s="1"/>
  <c r="F28" i="1"/>
  <c r="F10" i="8" s="1"/>
  <c r="D28" i="1"/>
  <c r="D10" i="8" s="1"/>
  <c r="C28" i="1"/>
  <c r="C10" i="8" s="1"/>
  <c r="M27" i="1"/>
  <c r="M9" i="8" s="1"/>
  <c r="L27" i="1"/>
  <c r="L9" i="8" s="1"/>
  <c r="K27" i="1"/>
  <c r="K9" i="8" s="1"/>
  <c r="J27" i="1"/>
  <c r="J9" i="8" s="1"/>
  <c r="H27" i="1"/>
  <c r="H9" i="8" s="1"/>
  <c r="G27" i="1"/>
  <c r="G9" i="8" s="1"/>
  <c r="F27" i="1"/>
  <c r="F9" i="8" s="1"/>
  <c r="D27" i="1"/>
  <c r="D9" i="8" s="1"/>
  <c r="C27" i="1"/>
  <c r="C9" i="8" s="1"/>
  <c r="J11" i="8"/>
  <c r="I9" i="7"/>
  <c r="E9" i="7" s="1"/>
  <c r="I10" i="7"/>
  <c r="E10" i="7" s="1"/>
  <c r="I11" i="7"/>
  <c r="E11" i="7" s="1"/>
  <c r="I12" i="7"/>
  <c r="E12" i="7" s="1"/>
  <c r="U9" i="7" s="1"/>
  <c r="I13" i="7"/>
  <c r="E13" i="7" s="1"/>
  <c r="V9" i="7" s="1"/>
  <c r="F32" i="5"/>
  <c r="G10" i="9" s="1"/>
  <c r="G32" i="5"/>
  <c r="H10" i="9" s="1"/>
  <c r="F33" i="5"/>
  <c r="G11" i="9" s="1"/>
  <c r="G33" i="5"/>
  <c r="H11" i="9" s="1"/>
  <c r="D1" i="1"/>
  <c r="E1" i="1"/>
  <c r="C1" i="1" s="1"/>
  <c r="A1" i="1" s="1"/>
  <c r="E28" i="1"/>
  <c r="E29" i="1"/>
  <c r="E30" i="1"/>
  <c r="I30" i="1"/>
  <c r="I27" i="1"/>
  <c r="W17" i="1"/>
  <c r="I28" i="1"/>
  <c r="I31" i="1"/>
  <c r="I29" i="1"/>
  <c r="H17" i="1"/>
  <c r="AB28" i="1" s="1"/>
  <c r="E27" i="1"/>
  <c r="G31" i="5"/>
  <c r="H9" i="9" s="1"/>
  <c r="C15" i="5"/>
  <c r="AJ21" i="1"/>
  <c r="AJ23" i="1"/>
  <c r="AJ20" i="1"/>
  <c r="AJ16" i="1"/>
  <c r="AJ15" i="1"/>
  <c r="E31" i="1"/>
  <c r="C21" i="5"/>
  <c r="AI20" i="1"/>
  <c r="AI17" i="1"/>
  <c r="AI15" i="1"/>
  <c r="AI23" i="1"/>
  <c r="AI21" i="1"/>
  <c r="AI16" i="1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B1" i="6"/>
  <c r="C1" i="6"/>
  <c r="A1" i="6" s="1"/>
  <c r="Q24" i="5" l="1"/>
  <c r="P24" i="5" s="1"/>
  <c r="G15" i="5"/>
  <c r="D33" i="5"/>
  <c r="E11" i="9" s="1"/>
  <c r="G21" i="5"/>
  <c r="Q25" i="5"/>
  <c r="P25" i="5" s="1"/>
  <c r="M25" i="5" s="1"/>
  <c r="C10" i="9"/>
  <c r="B33" i="5"/>
  <c r="C11" i="9" s="1"/>
  <c r="D10" i="9"/>
  <c r="C31" i="5"/>
  <c r="D9" i="9" s="1"/>
  <c r="Q15" i="5"/>
  <c r="P15" i="5" s="1"/>
  <c r="O15" i="5" s="1"/>
  <c r="I10" i="8"/>
  <c r="F31" i="5"/>
  <c r="G9" i="9" s="1"/>
  <c r="Q33" i="5"/>
  <c r="P33" i="5" s="1"/>
  <c r="I12" i="8"/>
  <c r="M27" i="5"/>
  <c r="O27" i="5"/>
  <c r="AE19" i="1"/>
  <c r="AD19" i="1" s="1"/>
  <c r="AE23" i="1"/>
  <c r="O23" i="5"/>
  <c r="M23" i="5"/>
  <c r="M32" i="5"/>
  <c r="O32" i="5"/>
  <c r="Q16" i="5"/>
  <c r="P16" i="5" s="1"/>
  <c r="O16" i="5" s="1"/>
  <c r="AE22" i="1"/>
  <c r="AD22" i="1" s="1"/>
  <c r="M31" i="5"/>
  <c r="Q11" i="7"/>
  <c r="P11" i="7" s="1"/>
  <c r="AE14" i="1"/>
  <c r="AD14" i="1" s="1"/>
  <c r="AE27" i="1"/>
  <c r="AD27" i="1" s="1"/>
  <c r="AB27" i="1" s="1"/>
  <c r="I9" i="8"/>
  <c r="I11" i="8"/>
  <c r="I13" i="8"/>
  <c r="E13" i="8"/>
  <c r="O30" i="5"/>
  <c r="M30" i="5"/>
  <c r="O22" i="5"/>
  <c r="M22" i="5"/>
  <c r="M21" i="5"/>
  <c r="AE20" i="1"/>
  <c r="AD20" i="1" s="1"/>
  <c r="Q28" i="5"/>
  <c r="P28" i="5" s="1"/>
  <c r="AE26" i="1"/>
  <c r="AD26" i="1" s="1"/>
  <c r="D32" i="5"/>
  <c r="E10" i="9" s="1"/>
  <c r="AE17" i="1"/>
  <c r="AB17" i="1" s="1"/>
  <c r="Q26" i="5"/>
  <c r="P26" i="5" s="1"/>
  <c r="O26" i="5" s="1"/>
  <c r="AE25" i="1"/>
  <c r="AD25" i="1" s="1"/>
  <c r="AB25" i="1" s="1"/>
  <c r="AE15" i="1"/>
  <c r="AE13" i="1"/>
  <c r="AD13" i="1" s="1"/>
  <c r="AE18" i="1"/>
  <c r="AB18" i="1" s="1"/>
  <c r="AE24" i="1"/>
  <c r="F5" i="5"/>
  <c r="A5" i="5" s="1"/>
  <c r="Z19" i="6"/>
  <c r="Y19" i="6" s="1"/>
  <c r="Z20" i="6"/>
  <c r="Y20" i="6" s="1"/>
  <c r="Q18" i="5"/>
  <c r="P18" i="5" s="1"/>
  <c r="AE16" i="1"/>
  <c r="AE21" i="1"/>
  <c r="E10" i="8"/>
  <c r="S9" i="7"/>
  <c r="V10" i="7"/>
  <c r="R9" i="7"/>
  <c r="S10" i="7"/>
  <c r="R10" i="7"/>
  <c r="E9" i="8"/>
  <c r="U10" i="7"/>
  <c r="T10" i="7"/>
  <c r="T9" i="7"/>
  <c r="E11" i="8"/>
  <c r="E12" i="8"/>
  <c r="O17" i="5"/>
  <c r="M17" i="5"/>
  <c r="O25" i="5"/>
  <c r="M24" i="5"/>
  <c r="O24" i="5"/>
  <c r="F10" i="9"/>
  <c r="E31" i="5"/>
  <c r="F9" i="9" s="1"/>
  <c r="AE12" i="1"/>
  <c r="AE11" i="1"/>
  <c r="W25" i="6"/>
  <c r="AA18" i="6"/>
  <c r="Z18" i="6" s="1"/>
  <c r="Y18" i="6" s="1"/>
  <c r="W13" i="6"/>
  <c r="W24" i="6"/>
  <c r="AB10" i="6"/>
  <c r="AA10" i="6"/>
  <c r="AA17" i="6"/>
  <c r="I11" i="6" l="1"/>
  <c r="AB16" i="6" s="1"/>
  <c r="Z16" i="6" s="1"/>
  <c r="Y16" i="6" s="1"/>
  <c r="Q29" i="5"/>
  <c r="P29" i="5" s="1"/>
  <c r="H11" i="6"/>
  <c r="Q19" i="5"/>
  <c r="P19" i="5" s="1"/>
  <c r="O19" i="5" s="1"/>
  <c r="M19" i="5" s="1"/>
  <c r="N11" i="7"/>
  <c r="O33" i="5"/>
  <c r="M33" i="5" s="1"/>
  <c r="B31" i="5"/>
  <c r="C9" i="9" s="1"/>
  <c r="M15" i="5"/>
  <c r="AD12" i="1"/>
  <c r="AB12" i="1" s="1"/>
  <c r="AB14" i="1"/>
  <c r="AD23" i="1"/>
  <c r="AB23" i="1" s="1"/>
  <c r="M16" i="5"/>
  <c r="AB22" i="1"/>
  <c r="AB20" i="1"/>
  <c r="AB19" i="1"/>
  <c r="M26" i="5"/>
  <c r="AD17" i="1"/>
  <c r="AD18" i="1"/>
  <c r="AD15" i="1"/>
  <c r="AB15" i="1" s="1"/>
  <c r="O28" i="5"/>
  <c r="M28" i="5" s="1"/>
  <c r="AB26" i="1"/>
  <c r="AD24" i="1"/>
  <c r="AB24" i="1" s="1"/>
  <c r="AD21" i="1"/>
  <c r="AB21" i="1" s="1"/>
  <c r="D31" i="5"/>
  <c r="E9" i="9" s="1"/>
  <c r="Z10" i="6"/>
  <c r="Y10" i="6" s="1"/>
  <c r="O18" i="5"/>
  <c r="M18" i="5" s="1"/>
  <c r="AD16" i="1"/>
  <c r="AB16" i="1" s="1"/>
  <c r="AB13" i="1"/>
  <c r="AD11" i="1"/>
  <c r="AB11" i="1" s="1"/>
  <c r="W19" i="6"/>
  <c r="W18" i="6"/>
  <c r="W26" i="6"/>
  <c r="W27" i="6"/>
  <c r="W22" i="6"/>
  <c r="W20" i="6"/>
  <c r="W12" i="6"/>
  <c r="W14" i="6"/>
  <c r="Q9" i="7"/>
  <c r="Q10" i="7"/>
  <c r="W11" i="6"/>
  <c r="W16" i="6" l="1"/>
  <c r="AB15" i="6"/>
  <c r="Z15" i="6" s="1"/>
  <c r="AB17" i="6"/>
  <c r="Z17" i="6" s="1"/>
  <c r="Y17" i="6" s="1"/>
  <c r="O29" i="5"/>
  <c r="M29" i="5"/>
  <c r="W10" i="6"/>
  <c r="P10" i="7"/>
  <c r="N10" i="7" s="1"/>
  <c r="N9" i="7"/>
  <c r="P9" i="7"/>
  <c r="W17" i="6" l="1"/>
  <c r="Y15" i="6"/>
  <c r="W15" i="6"/>
</calcChain>
</file>

<file path=xl/sharedStrings.xml><?xml version="1.0" encoding="utf-8"?>
<sst xmlns="http://schemas.openxmlformats.org/spreadsheetml/2006/main" count="445" uniqueCount="292">
  <si>
    <t>Сведения  о профилактических  осмотрах  несовершеннолетних</t>
  </si>
  <si>
    <t>по состоянию на</t>
  </si>
  <si>
    <t>выбор числа</t>
  </si>
  <si>
    <t>выбор месяца</t>
  </si>
  <si>
    <t>выбор года</t>
  </si>
  <si>
    <t>Название учреждения</t>
  </si>
  <si>
    <t>№ стр.</t>
  </si>
  <si>
    <t>Категории детей</t>
  </si>
  <si>
    <t>Плановые показатели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</si>
  <si>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</si>
  <si>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</si>
  <si>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</si>
  <si>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</si>
  <si>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>Число детей направленных на 2 этап профосмотра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</si>
  <si>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</si>
  <si>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>Проверка</t>
  </si>
  <si>
    <t xml:space="preserve">Прикреплено к учреждению детей до 17 лет включительно </t>
  </si>
  <si>
    <t>в том числе</t>
  </si>
  <si>
    <t>подлежит по плану всего</t>
  </si>
  <si>
    <t>из них сельских жителей из гр.3</t>
  </si>
  <si>
    <t>в т.ч. детей-инвалидов (из гр.2)</t>
  </si>
  <si>
    <t>всего</t>
  </si>
  <si>
    <t>из них сельских жителей</t>
  </si>
  <si>
    <t>С применением мобильных медицинских комплексов</t>
  </si>
  <si>
    <t>из гр.9</t>
  </si>
  <si>
    <t>в т.ч. детей-инвалидов из гр.10</t>
  </si>
  <si>
    <t>в т.ч. детей-инвалидов из гр.11</t>
  </si>
  <si>
    <t>основная</t>
  </si>
  <si>
    <t>подготови- тельная</t>
  </si>
  <si>
    <t>специальная</t>
  </si>
  <si>
    <t>Представ-лено счетов к оплате</t>
  </si>
  <si>
    <t>Из них оплачено</t>
  </si>
  <si>
    <t xml:space="preserve"> детей-инвалидов </t>
  </si>
  <si>
    <t>из них: III А</t>
  </si>
  <si>
    <t>из них: III Б</t>
  </si>
  <si>
    <t>А</t>
  </si>
  <si>
    <t>Б</t>
  </si>
  <si>
    <t>3.1</t>
  </si>
  <si>
    <t>5.1</t>
  </si>
  <si>
    <t>9.1</t>
  </si>
  <si>
    <t>9.2</t>
  </si>
  <si>
    <t>10.1</t>
  </si>
  <si>
    <t>11.1</t>
  </si>
  <si>
    <t xml:space="preserve">Всего </t>
  </si>
  <si>
    <t>гр.2 меньше либо равна гр.1</t>
  </si>
  <si>
    <t xml:space="preserve">дети в возрасте 0-14 лет вкл.                                     </t>
  </si>
  <si>
    <t>гр.3 меньше либо равна гр.1</t>
  </si>
  <si>
    <t>из них дети до 1 года</t>
  </si>
  <si>
    <t>Х</t>
  </si>
  <si>
    <t>гр.3.1 меньше либо равна гр.3</t>
  </si>
  <si>
    <t>дети 15-17 лет вкл.</t>
  </si>
  <si>
    <t>гр.4 меньше либо равна гр.2</t>
  </si>
  <si>
    <t>из общего числа детей 15-17 лет(стр03)-юношей</t>
  </si>
  <si>
    <t>гр.5 меньше либо равна гр.3</t>
  </si>
  <si>
    <t>школьники (из суммы стр1+3)</t>
  </si>
  <si>
    <t>гр.5.1 меньше либо равна гр.5</t>
  </si>
  <si>
    <t>гр.6 меньше либо равна гр.5</t>
  </si>
  <si>
    <t>контроль</t>
  </si>
  <si>
    <t>гр.10.1 меньше либо равна гр.10</t>
  </si>
  <si>
    <t>гр.11.1 меньше либо равна гр.11</t>
  </si>
  <si>
    <t>сумма граф 12-15 меньше либо равна гр.5</t>
  </si>
  <si>
    <t>Ф.И.О. главного врача</t>
  </si>
  <si>
    <t>гр.16 меньше либо равна гр.5</t>
  </si>
  <si>
    <t>Ф.И.О. исполнителя</t>
  </si>
  <si>
    <t>гр.17 меньше либо равна гр.16</t>
  </si>
  <si>
    <t>телефон исполнителя</t>
  </si>
  <si>
    <t>гр.18 меньше либо равна гр.5</t>
  </si>
  <si>
    <t>гр.19 меньше либо равна гр.18</t>
  </si>
  <si>
    <t xml:space="preserve">таб.2510 </t>
  </si>
  <si>
    <t>подлежало осмотрам</t>
  </si>
  <si>
    <t>из них: сельских жителей</t>
  </si>
  <si>
    <t>осмотрено</t>
  </si>
  <si>
    <t>из числа осмотренных(гр 5): определены группы здоровья - I</t>
  </si>
  <si>
    <t>из числа осмотрен-ных(гр 5): определены группы здоровья - II</t>
  </si>
  <si>
    <t>из числа осмотрен-ных(гр 5): определены группы здоровья - III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</si>
  <si>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</si>
  <si>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</si>
  <si>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стр.2 меньше стр.1</t>
  </si>
  <si>
    <t>Профосмотры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</si>
  <si>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</si>
  <si>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</si>
  <si>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</si>
  <si>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</si>
  <si>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</si>
  <si>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</si>
  <si>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</si>
  <si>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</si>
  <si>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</si>
  <si>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</si>
  <si>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</si>
  <si>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стр.4 меньше либо равна стр.3</t>
  </si>
  <si>
    <t xml:space="preserve">дети в возрасте 0-14 лет вкл.                                      </t>
  </si>
  <si>
    <t>стр.5 меньше суммы стр.1+стр.3</t>
  </si>
  <si>
    <t>стр.17 Excel гр.5=стр.11 Excel гр.5</t>
  </si>
  <si>
    <t>школьники(из суммы стр1+3)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</si>
  <si>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</si>
  <si>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</si>
  <si>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</si>
  <si>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</si>
  <si>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</si>
  <si>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</si>
  <si>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ЮНОШИ  (15-17 лет)</t>
  </si>
  <si>
    <t>План                        (чел.)</t>
  </si>
  <si>
    <t>из них сельских жителей (чел.)</t>
  </si>
  <si>
    <t>Факт осмотренных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</si>
  <si>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</si>
  <si>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</si>
  <si>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Из них впервые (чел.) из гр.7</t>
  </si>
  <si>
    <t>из них сельских жителей (чел.) из гр.7.2</t>
  </si>
  <si>
    <t>Кол- во детей направленных на 2 этап для дообследования (чел.) из гр.7.2</t>
  </si>
  <si>
    <t>всего (чел.)</t>
  </si>
  <si>
    <t>Число посещений (из графы 3)*</t>
  </si>
  <si>
    <t>из них сельских жителей (чел.) из гр.5</t>
  </si>
  <si>
    <t>осмотрено врачом урологом -андрологом (чел. из гр. 3)</t>
  </si>
  <si>
    <t>7.1</t>
  </si>
  <si>
    <t>7.2</t>
  </si>
  <si>
    <t>7.3</t>
  </si>
  <si>
    <t>гр.2 &lt;=гр.1</t>
  </si>
  <si>
    <t>гр.4 &lt;=гр.3</t>
  </si>
  <si>
    <t>ДЕВУШКИ  (15-17 лет)</t>
  </si>
  <si>
    <t>гр.5.1 &lt;=гр.5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</si>
  <si>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</si>
  <si>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</si>
  <si>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</si>
  <si>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гр.14.2</t>
  </si>
  <si>
    <t>Кол- во детей направленных на 2 этап для дообследования (чел.) из гр.14.2</t>
  </si>
  <si>
    <t>гр.6 &lt;=гр.3</t>
  </si>
  <si>
    <t>из них сельских жителей (чел.) из гр.11</t>
  </si>
  <si>
    <t>осмотрено врачом акушером-гинекологом (чел. из гр. 11)</t>
  </si>
  <si>
    <t>гр.7 &lt;=гр.6</t>
  </si>
  <si>
    <t>12.1</t>
  </si>
  <si>
    <t>14.1</t>
  </si>
  <si>
    <t>14.2</t>
  </si>
  <si>
    <t>14.3</t>
  </si>
  <si>
    <t>гр.7.1 &lt;=гр.7</t>
  </si>
  <si>
    <t>*число посещений это число осмотров специалистами</t>
  </si>
  <si>
    <t>гр.7.2 &lt;=гр.7</t>
  </si>
  <si>
    <t>гр.7.3 &lt;=гр.7.2</t>
  </si>
  <si>
    <t>гр.8 &lt;=гр.3</t>
  </si>
  <si>
    <t>гр.10 &lt;=гр.9</t>
  </si>
  <si>
    <t>гр.11.1 &lt;=гр.11</t>
  </si>
  <si>
    <t>гр.12.1 &lt;=гр.12</t>
  </si>
  <si>
    <t>гр.13 &lt;=гр.11</t>
  </si>
  <si>
    <t>таб. 2511 ф. 30</t>
  </si>
  <si>
    <t>из них:сельских жителей</t>
  </si>
  <si>
    <t>выявлена патология-всего</t>
  </si>
  <si>
    <t>выявлена патология из них:сельских жителей</t>
  </si>
  <si>
    <t>гр.14 &lt;=гр.13</t>
  </si>
  <si>
    <t/>
  </si>
  <si>
    <t>гр.14.1 &lt;=гр.14</t>
  </si>
  <si>
    <t>осмотрено пациентов всего</t>
  </si>
  <si>
    <t>гр.14.2 &lt;=гр.14</t>
  </si>
  <si>
    <t>из них мальчиков(урологом-андрологом)</t>
  </si>
  <si>
    <t>гр.14.3 &lt;=гр.14.2</t>
  </si>
  <si>
    <t>девочек(акушером-гинекологом)</t>
  </si>
  <si>
    <t>гр.15 &lt;=гр.11</t>
  </si>
  <si>
    <t>Сведения  о профилактических осмотрами несовершеннолетних  в рамках национального  проекта «Здравоохранение»</t>
  </si>
  <si>
    <t>Осмотрено (завершено)</t>
  </si>
  <si>
    <t>Осмотрено урологом-андрологом</t>
  </si>
  <si>
    <t>Осмотрено гинекологом</t>
  </si>
  <si>
    <t>Число несовершеннолетних, у которых в ходе осмотров и диспансеризации впервые выявлены неинфекционные заболевания</t>
  </si>
  <si>
    <t>В том числе</t>
  </si>
  <si>
    <t>Число граждан, у которых в ходе осмотров и диспансеризации впервые выявлены факторы риска</t>
  </si>
  <si>
    <t>Из числа граждан, у которых выявлены неинфекционные заболевания (из гр. 9), взяты на диспансерное наблюдение</t>
  </si>
  <si>
    <t>Из числа граждан, у которых впервые выявлены неинфекционные заболевания (из гр. 9), было начато лечение</t>
  </si>
  <si>
    <t>из них сельских жителей 
(из гр. 20)</t>
  </si>
  <si>
    <t>в вечернее время (после 18:00 )</t>
  </si>
  <si>
    <t>в субботу</t>
  </si>
  <si>
    <t>болезни системы кровообращения</t>
  </si>
  <si>
    <t>злокачественные новообразования</t>
  </si>
  <si>
    <t>в том числе в I и II стадиях (из гр.11)</t>
  </si>
  <si>
    <t xml:space="preserve">болезни костно-мышечной системы и соединительной ткани </t>
  </si>
  <si>
    <t>болезни глаза и его придаточного аппарата</t>
  </si>
  <si>
    <t>болезни эндокринной системы, расстройств питания и нарушения обмена веществ</t>
  </si>
  <si>
    <t>хронические заболевания органов дыхания</t>
  </si>
  <si>
    <t>болезни органов пищеварения</t>
  </si>
  <si>
    <t>Дети в возрасте 0 - 14 лет включительно</t>
  </si>
  <si>
    <t>гр.2 меньше  гр.1</t>
  </si>
  <si>
    <t>Дети в возрасте 15 - 17 лет включительно</t>
  </si>
  <si>
    <t>гр.3 меньшегр.1</t>
  </si>
  <si>
    <t>гр.4 меньшегр.1</t>
  </si>
  <si>
    <t>факторы риска по методическим рекомендациям Минздрава</t>
  </si>
  <si>
    <t>гр.5 меньше  гр.4</t>
  </si>
  <si>
    <t>Гиперхолестеринемия (E78);</t>
  </si>
  <si>
    <t>гр.6 меньшегр.4</t>
  </si>
  <si>
    <t>Гипергликемия (R73.9);</t>
  </si>
  <si>
    <t>гр.7 меньше либо равна гр.1</t>
  </si>
  <si>
    <t>Курение табака (Z72.0);</t>
  </si>
  <si>
    <t>гр.8 меньше либо равна гр.1</t>
  </si>
  <si>
    <t>Нерациональное питание (Z72.4);</t>
  </si>
  <si>
    <t>сумма граф 7+8 меньше либо равна гр.1</t>
  </si>
  <si>
    <t>Избыточная масса тела (R63.5);</t>
  </si>
  <si>
    <t>гр.9 меньше либо равна гр.1</t>
  </si>
  <si>
    <t xml:space="preserve"> Дефицит массы тела;</t>
  </si>
  <si>
    <t>гр.10 меньше либо равна гр.9</t>
  </si>
  <si>
    <t>Низкая физическая активность (Z72.3);</t>
  </si>
  <si>
    <t>гр.11 меньше либо равна гр.9</t>
  </si>
  <si>
    <t>Риск пагубного потребления алкоголя (Z72.1);</t>
  </si>
  <si>
    <t>гр.12 меньше либо равна гр.11</t>
  </si>
  <si>
    <t>Риск потребления наркотических средств и психотропных веществ без назначения врача (Z72.2).</t>
  </si>
  <si>
    <t>гр.13 меньше либо равна гр.9</t>
  </si>
  <si>
    <t>гр.14 меньше либо равна гр.9</t>
  </si>
  <si>
    <t>гр.15 меньше либо равна гр.9</t>
  </si>
  <si>
    <t>гр.16 меньше либо равна гр.1</t>
  </si>
  <si>
    <t>гр.17 меньше либо равна гр.9</t>
  </si>
  <si>
    <t>гр.18 меньше либо равна гр.1</t>
  </si>
  <si>
    <t>гр.19 меньше либо равна гр.9</t>
  </si>
  <si>
    <t>гр.20 меньше либо равна гр.9</t>
  </si>
  <si>
    <t>гр.21 меньше либо равна гр20</t>
  </si>
  <si>
    <t>Сведения  о диспансеризации детей сирот</t>
  </si>
  <si>
    <t>№ п/п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</si>
  <si>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</si>
  <si>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</si>
  <si>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</si>
  <si>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</si>
  <si>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</si>
  <si>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>Дети-сироты</t>
  </si>
  <si>
    <t>001</t>
  </si>
  <si>
    <t>дети в возрасте 0-14 лет вкл.                                      5</t>
  </si>
  <si>
    <t xml:space="preserve">гр 6 &lt; или равна гр 5 </t>
  </si>
  <si>
    <t>002</t>
  </si>
  <si>
    <t>гр 5  &lt; или равна гр 3</t>
  </si>
  <si>
    <t>003</t>
  </si>
  <si>
    <t>гр 4  &lt; или равна гр 3</t>
  </si>
  <si>
    <t>004</t>
  </si>
  <si>
    <t>005</t>
  </si>
  <si>
    <t>Сведения  о профилактических  осмотрах и диспансеризации несовершеннолетних ВСЕГО</t>
  </si>
  <si>
    <t>Свод</t>
  </si>
  <si>
    <t>Сведения  о профилактических  осмотрах детей в возрасте 15-17 лет</t>
  </si>
  <si>
    <t>011</t>
  </si>
  <si>
    <t>012</t>
  </si>
  <si>
    <t>ГУЗ «Детская поликлиника  № 6», Волгоград</t>
  </si>
  <si>
    <t>января</t>
  </si>
  <si>
    <t>ГУЗ «Поликлиника № 18», Волгоград</t>
  </si>
  <si>
    <t>февраля</t>
  </si>
  <si>
    <t xml:space="preserve">ГУЗ "Клиническая поликлиника №28" </t>
  </si>
  <si>
    <t>марта</t>
  </si>
  <si>
    <t>ГУЗ «Поликлиника  № 30», Волгоград</t>
  </si>
  <si>
    <t>апреля</t>
  </si>
  <si>
    <t>ГУЗ «Детская поликлиника  № 5», Волгоград</t>
  </si>
  <si>
    <t>мая</t>
  </si>
  <si>
    <t>ГУЗ  «Детская больница № 1»</t>
  </si>
  <si>
    <t>июня</t>
  </si>
  <si>
    <t>ГУЗ «Детская  поликлиника  № 16», Волгоград</t>
  </si>
  <si>
    <t>июля</t>
  </si>
  <si>
    <t>ГУЗ «Детская поликлиника  № 1», Волгоград</t>
  </si>
  <si>
    <t>августа</t>
  </si>
  <si>
    <t>ГУЗ «Детская клиническая поликлиника  № 31», Волгоград</t>
  </si>
  <si>
    <t>сентября</t>
  </si>
  <si>
    <t>ГУЗ «Детская поликлиника  № 3», Волгоград</t>
  </si>
  <si>
    <t>октября</t>
  </si>
  <si>
    <t>ГУЗ «Детская клиническая поликлиника  № 15», Волгоград</t>
  </si>
  <si>
    <t>ноября</t>
  </si>
  <si>
    <t>ГБУЗ «Городская детская больница», Волжский</t>
  </si>
  <si>
    <t>декабря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</si>
  <si>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</si>
  <si>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</si>
  <si>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</si>
  <si>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</si>
  <si>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</si>
  <si>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</si>
  <si>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</si>
  <si>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</si>
  <si>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</si>
  <si>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</si>
  <si>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"Камышинская детская городская больница"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</si>
  <si>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</si>
  <si>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</si>
  <si>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</si>
  <si>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</si>
  <si>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</si>
  <si>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</si>
  <si>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</si>
  <si>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</si>
  <si>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</si>
  <si>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</si>
  <si>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</si>
  <si>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</si>
  <si>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</si>
  <si>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</si>
  <si>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</si>
  <si>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</si>
  <si>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"Серафимовичский ЦРБ"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</si>
  <si>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</si>
  <si>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</si>
  <si>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</si>
  <si>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</si>
  <si>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</si>
  <si>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</si>
  <si>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Последние изменения 02.11.2021г.</t>
  </si>
  <si>
    <t>Тридубова Надежда Александровна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</si>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</sst>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3" tint="0.3999755851924192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202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0" fillId="0" borderId="0" xfId="0" applyFont="1" applyBorder="1" applyAlignment="1" applyProtection="1"/>
    <xf numFmtId="0" fontId="20" fillId="0" borderId="0" xfId="0" applyFont="1" applyProtection="1"/>
    <xf numFmtId="0" fontId="3" fillId="0" borderId="0" xfId="0" applyFont="1" applyAlignment="1" applyProtection="1">
      <alignment horizontal="center"/>
    </xf>
    <xf numFmtId="0" fontId="20" fillId="0" borderId="0" xfId="0" applyFont="1"/>
    <xf numFmtId="164" fontId="21" fillId="0" borderId="0" xfId="0" applyNumberFormat="1" applyFont="1" applyProtection="1">
      <protection hidden="1"/>
    </xf>
    <xf numFmtId="164" fontId="22" fillId="0" borderId="0" xfId="0" applyNumberFormat="1" applyFont="1" applyProtection="1">
      <protection hidden="1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26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</xf>
    <xf numFmtId="0" fontId="27" fillId="0" borderId="0" xfId="0" applyFont="1"/>
    <xf numFmtId="0" fontId="27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vertical="center"/>
    </xf>
    <xf numFmtId="164" fontId="29" fillId="0" borderId="0" xfId="0" applyNumberFormat="1" applyFont="1" applyProtection="1"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0" fontId="24" fillId="0" borderId="5" xfId="0" applyFont="1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0" fillId="0" borderId="5" xfId="0" applyBorder="1" applyAlignment="1">
      <alignment wrapText="1"/>
    </xf>
    <xf numFmtId="0" fontId="13" fillId="0" borderId="0" xfId="0" applyFont="1" applyBorder="1" applyAlignment="1" applyProtection="1">
      <alignment horizontal="center" vertical="top"/>
    </xf>
    <xf numFmtId="0" fontId="33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5" xfId="0" applyFont="1" applyBorder="1" applyAlignment="1">
      <alignment wrapText="1"/>
    </xf>
    <xf numFmtId="0" fontId="20" fillId="0" borderId="5" xfId="0" applyFont="1" applyBorder="1"/>
    <xf numFmtId="0" fontId="37" fillId="0" borderId="5" xfId="0" applyFont="1" applyBorder="1" applyAlignment="1" applyProtection="1">
      <alignment horizontal="center" vertical="center" wrapText="1"/>
    </xf>
    <xf numFmtId="0" fontId="20" fillId="0" borderId="0" xfId="0" applyFont="1" applyFill="1"/>
    <xf numFmtId="1" fontId="6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/>
    <xf numFmtId="0" fontId="20" fillId="0" borderId="5" xfId="0" applyFont="1" applyFill="1" applyBorder="1"/>
    <xf numFmtId="0" fontId="38" fillId="0" borderId="5" xfId="0" applyFont="1" applyFill="1" applyBorder="1"/>
    <xf numFmtId="0" fontId="38" fillId="0" borderId="5" xfId="0" applyFont="1" applyBorder="1"/>
    <xf numFmtId="0" fontId="38" fillId="0" borderId="0" xfId="0" applyFont="1"/>
    <xf numFmtId="0" fontId="20" fillId="0" borderId="5" xfId="0" applyFont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39" fillId="0" borderId="5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37" fillId="0" borderId="5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0" fontId="28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/>
    </xf>
    <xf numFmtId="1" fontId="0" fillId="6" borderId="5" xfId="0" applyNumberFormat="1" applyFill="1" applyBorder="1" applyAlignment="1" applyProtection="1">
      <alignment horizontal="center" vertical="center" wrapText="1"/>
    </xf>
    <xf numFmtId="0" fontId="36" fillId="6" borderId="5" xfId="0" applyFont="1" applyFill="1" applyBorder="1" applyAlignment="1" applyProtection="1">
      <alignment horizontal="center" vertical="center" wrapText="1"/>
    </xf>
    <xf numFmtId="1" fontId="36" fillId="6" borderId="5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Protection="1"/>
    <xf numFmtId="0" fontId="23" fillId="5" borderId="5" xfId="0" applyFont="1" applyFill="1" applyBorder="1" applyAlignment="1" applyProtection="1">
      <alignment horizontal="center"/>
      <protection locked="0"/>
    </xf>
    <xf numFmtId="0" fontId="3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/>
    </xf>
    <xf numFmtId="0" fontId="23" fillId="6" borderId="5" xfId="0" applyFont="1" applyFill="1" applyBorder="1" applyAlignment="1" applyProtection="1">
      <alignment horizontal="center"/>
    </xf>
    <xf numFmtId="1" fontId="23" fillId="6" borderId="5" xfId="0" applyNumberFormat="1" applyFont="1" applyFill="1" applyBorder="1" applyAlignment="1" applyProtection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42" fillId="0" borderId="0" xfId="0" applyFont="1" applyFill="1" applyProtection="1"/>
    <xf numFmtId="0" fontId="20" fillId="4" borderId="0" xfId="0" applyFont="1" applyFill="1" applyAlignment="1">
      <alignment vertical="center" wrapText="1"/>
    </xf>
    <xf numFmtId="0" fontId="20" fillId="7" borderId="5" xfId="0" applyFont="1" applyFill="1" applyBorder="1" applyAlignment="1">
      <alignment horizontal="center" vertical="center"/>
    </xf>
    <xf numFmtId="0" fontId="43" fillId="0" borderId="0" xfId="0" applyFont="1" applyProtection="1"/>
    <xf numFmtId="0" fontId="50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/>
    <xf numFmtId="0" fontId="51" fillId="0" borderId="0" xfId="0" applyFont="1" applyAlignment="1"/>
    <xf numFmtId="0" fontId="52" fillId="0" borderId="29" xfId="0" applyFont="1" applyBorder="1" applyAlignment="1" applyProtection="1">
      <alignment horizontal="center"/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/>
    <xf numFmtId="0" fontId="52" fillId="0" borderId="0" xfId="0" applyFont="1" applyBorder="1" applyAlignment="1" applyProtection="1">
      <alignment horizontal="center"/>
      <protection hidden="1"/>
    </xf>
    <xf numFmtId="0" fontId="41" fillId="0" borderId="5" xfId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10" borderId="0" xfId="0" applyFont="1" applyFill="1" applyAlignment="1">
      <alignment horizontal="center" vertical="center" wrapText="1"/>
    </xf>
    <xf numFmtId="0" fontId="27" fillId="10" borderId="0" xfId="0" applyFont="1" applyFill="1" applyAlignment="1" applyProtection="1">
      <alignment horizontal="center" vertical="center" wrapText="1"/>
    </xf>
    <xf numFmtId="0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>
      <alignment horizontal="center" vertical="center" wrapText="1"/>
    </xf>
    <xf numFmtId="0" fontId="41" fillId="0" borderId="10" xfId="1" applyFont="1" applyFill="1" applyBorder="1" applyAlignment="1">
      <alignment horizontal="center" vertical="center"/>
    </xf>
    <xf numFmtId="0" fontId="27" fillId="6" borderId="5" xfId="0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53" fillId="0" borderId="1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7" fillId="0" borderId="0" xfId="0" applyFont="1" applyFill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38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5" fillId="0" borderId="5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0" fillId="4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/>
    <xf numFmtId="0" fontId="31" fillId="0" borderId="5" xfId="0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20" fillId="5" borderId="1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33" fillId="0" borderId="26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13" fillId="0" borderId="11" xfId="0" applyFont="1" applyBorder="1" applyAlignment="1" applyProtection="1">
      <alignment horizontal="center" vertical="top"/>
    </xf>
    <xf numFmtId="0" fontId="11" fillId="5" borderId="23" xfId="0" applyFont="1" applyFill="1" applyBorder="1" applyAlignment="1" applyProtection="1">
      <alignment horizontal="center" vertical="center" wrapText="1"/>
      <protection locked="0"/>
    </xf>
    <xf numFmtId="0" fontId="11" fillId="5" borderId="24" xfId="0" applyFont="1" applyFill="1" applyBorder="1" applyAlignment="1" applyProtection="1">
      <alignment horizontal="center"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15" fillId="3" borderId="18" xfId="0" applyFont="1" applyFill="1" applyBorder="1" applyAlignment="1" applyProtection="1">
      <alignment horizontal="center" vertical="center" wrapText="1"/>
    </xf>
    <xf numFmtId="0" fontId="46" fillId="0" borderId="0" xfId="0" applyFont="1" applyBorder="1" applyAlignment="1" applyProtection="1">
      <alignment horizontal="center"/>
    </xf>
    <xf numFmtId="49" fontId="49" fillId="0" borderId="5" xfId="0" applyNumberFormat="1" applyFont="1" applyBorder="1" applyAlignment="1">
      <alignment horizontal="center" vertical="center" wrapText="1"/>
    </xf>
    <xf numFmtId="0" fontId="27" fillId="5" borderId="15" xfId="0" applyFont="1" applyFill="1" applyBorder="1" applyAlignment="1" applyProtection="1">
      <alignment horizontal="center" vertical="center"/>
      <protection locked="0"/>
    </xf>
    <xf numFmtId="0" fontId="27" fillId="5" borderId="5" xfId="0" applyFont="1" applyFill="1" applyBorder="1" applyAlignment="1" applyProtection="1">
      <alignment horizontal="center" vertical="center"/>
      <protection locked="0"/>
    </xf>
    <xf numFmtId="0" fontId="27" fillId="5" borderId="16" xfId="0" applyFont="1" applyFill="1" applyBorder="1" applyAlignment="1" applyProtection="1">
      <alignment horizontal="center" vertical="center"/>
      <protection locked="0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2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47" fillId="8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</xf>
    <xf numFmtId="0" fontId="27" fillId="5" borderId="12" xfId="0" applyFont="1" applyFill="1" applyBorder="1" applyAlignment="1" applyProtection="1">
      <alignment horizontal="center" vertical="center"/>
      <protection locked="0"/>
    </xf>
    <xf numFmtId="0" fontId="27" fillId="5" borderId="7" xfId="0" applyFont="1" applyFill="1" applyBorder="1" applyAlignment="1" applyProtection="1">
      <alignment horizontal="center" vertical="center"/>
      <protection locked="0"/>
    </xf>
    <xf numFmtId="0" fontId="27" fillId="5" borderId="28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top"/>
    </xf>
    <xf numFmtId="0" fontId="5" fillId="0" borderId="5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4" xfId="1"/>
  </cellStyles>
  <dxfs count="6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00FF"/>
    <pageSetUpPr fitToPage="1"/>
  </sheetPr>
  <dimension ref="A1:BJ31"/>
  <sheetViews>
    <sheetView tabSelected="1" zoomScale="55" zoomScaleNormal="55" workbookViewId="0">
      <selection activeCell="M20" sqref="M20"/>
    </sheetView>
  </sheetViews>
  <sheetFormatPr defaultRowHeight="15" x14ac:dyDescent="0.25"/>
  <cols>
    <col min="1" max="1" width="7.28515625" style="6" customWidth="1"/>
    <col min="2" max="2" width="32.140625" style="6" customWidth="1"/>
    <col min="3" max="3" width="16.28515625" style="6" customWidth="1"/>
    <col min="4" max="4" width="11" style="6" customWidth="1"/>
    <col min="5" max="5" width="11.85546875" style="6" customWidth="1"/>
    <col min="6" max="6" width="10" style="6" customWidth="1"/>
    <col min="7" max="9" width="13.85546875" style="6" customWidth="1"/>
    <col min="10" max="10" width="13.140625" style="6" customWidth="1"/>
    <col min="11" max="11" width="10.42578125" style="6" customWidth="1"/>
    <col min="12" max="12" width="11.7109375" style="6" customWidth="1"/>
    <col min="13" max="13" width="12.85546875" style="6" customWidth="1"/>
    <col min="14" max="14" width="11" style="6" customWidth="1"/>
    <col min="15" max="15" width="10.85546875" style="6" customWidth="1"/>
    <col min="16" max="16" width="10.5703125" style="6" customWidth="1"/>
    <col min="17" max="17" width="10.42578125" style="6" customWidth="1"/>
    <col min="18" max="18" width="9.140625" style="6" customWidth="1"/>
    <col min="19" max="19" width="10.5703125" style="6" customWidth="1"/>
    <col min="20" max="20" width="9.140625" style="6" customWidth="1"/>
    <col min="21" max="21" width="10.140625" style="6" customWidth="1"/>
    <col min="22" max="22" width="10.85546875" style="6" customWidth="1"/>
    <col min="23" max="23" width="11.5703125" style="6" customWidth="1"/>
    <col min="24" max="24" width="12.140625" style="6" customWidth="1"/>
    <col min="25" max="25" width="12.85546875" style="6" customWidth="1"/>
    <col min="26" max="26" width="14.85546875" style="6" customWidth="1"/>
    <col min="27" max="27" width="18.140625" style="6" customWidth="1"/>
    <col min="28" max="28" width="41.140625" style="6" customWidth="1"/>
    <col min="29" max="29" width="16" style="6" hidden="1" customWidth="1"/>
    <col min="30" max="30" width="14.28515625" style="6" hidden="1" customWidth="1"/>
    <col min="31" max="31" width="9.140625" style="6" hidden="1" customWidth="1"/>
    <col min="32" max="32" width="10" style="6" hidden="1" customWidth="1"/>
    <col min="33" max="36" width="9.140625" style="6" hidden="1" customWidth="1"/>
    <col min="37" max="37" width="10" style="6" hidden="1" customWidth="1"/>
    <col min="38" max="56" width="9.140625" style="6" hidden="1" customWidth="1"/>
    <col min="57" max="16384" width="9.140625" style="6"/>
  </cols>
  <sheetData>
    <row r="1" spans="1:43" x14ac:dyDescent="0.25">
      <c r="A1" s="7" t="str">
        <f>IF(C1=TRUE,DATEVALUE(F3&amp;"."&amp;VLOOKUP(G3,Help!$H$1:$I$12,2,0)&amp;"."&amp;I3),"22.07.1966")</f>
        <v>22.07.1966</v>
      </c>
      <c r="C1" s="7" t="str">
        <f>IF(E1=TRUE,DATEVALUE(H3&amp;"."&amp;VLOOKUP(I3,Help!$H$1:$I$12,2,0)&amp;"."&amp;K3),"22.07.1966")</f>
        <v>22.07.1966</v>
      </c>
      <c r="D1" s="8" t="e">
        <f>H3&amp;"."&amp;VLOOKUP(I3,Help!$H$1:$I$12,2,0)&amp;"."&amp;K3</f>
        <v>#N/A</v>
      </c>
      <c r="E1" s="7" t="b">
        <f>AND(H3&lt;&gt;0,I3&lt;&gt;0,K3&lt;&gt;0)</f>
        <v>0</v>
      </c>
    </row>
    <row r="2" spans="1:43" ht="45" customHeight="1" x14ac:dyDescent="0.3">
      <c r="D2" s="1"/>
      <c r="E2" s="130" t="s">
        <v>0</v>
      </c>
      <c r="F2" s="130"/>
      <c r="G2" s="130"/>
      <c r="H2" s="130"/>
      <c r="I2" s="130"/>
      <c r="J2" s="130"/>
      <c r="K2" s="130"/>
      <c r="L2" s="130"/>
      <c r="M2" s="2"/>
      <c r="N2" s="1"/>
      <c r="O2" s="3"/>
      <c r="P2" s="3"/>
      <c r="Q2" s="3"/>
      <c r="R2" s="3"/>
      <c r="S2" s="4"/>
      <c r="T2" s="4"/>
      <c r="U2" s="4"/>
      <c r="V2" s="4"/>
      <c r="W2" s="4"/>
      <c r="X2" s="4"/>
      <c r="Y2" s="4"/>
    </row>
    <row r="3" spans="1:43" ht="18.75" x14ac:dyDescent="0.3">
      <c r="B3" s="1"/>
      <c r="C3" s="1"/>
      <c r="D3" s="5"/>
      <c r="E3" s="133" t="s">
        <v>1</v>
      </c>
      <c r="F3" s="134"/>
      <c r="G3" s="91">
        <v>28</v>
      </c>
      <c r="H3" s="91" t="s">
        <v>254</v>
      </c>
      <c r="I3" s="91">
        <v>2021</v>
      </c>
      <c r="J3" s="98"/>
      <c r="K3" s="5"/>
      <c r="L3" s="2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3" s="80" customFormat="1" ht="23.25" x14ac:dyDescent="0.35">
      <c r="B4" s="83"/>
      <c r="C4" s="83"/>
      <c r="D4" s="83"/>
      <c r="E4" s="83"/>
      <c r="F4" s="83"/>
      <c r="G4" s="85" t="s">
        <v>2</v>
      </c>
      <c r="H4" s="85" t="s">
        <v>3</v>
      </c>
      <c r="I4" s="85" t="s">
        <v>4</v>
      </c>
      <c r="J4" s="83"/>
      <c r="K4" s="83"/>
      <c r="L4" s="83"/>
      <c r="M4" s="83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43" ht="20.25" x14ac:dyDescent="0.25">
      <c r="B5" s="84"/>
      <c r="C5" s="131" t="s">
        <v>272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3" ht="15.75" x14ac:dyDescent="0.25">
      <c r="C6" s="4"/>
      <c r="D6" s="4"/>
      <c r="E6" s="4"/>
      <c r="F6" s="4"/>
      <c r="G6" s="4"/>
      <c r="H6" s="132" t="s">
        <v>5</v>
      </c>
      <c r="I6" s="132"/>
      <c r="J6" s="13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3" ht="72.75" customHeight="1" x14ac:dyDescent="0.25">
      <c r="A7" s="129" t="s">
        <v>6</v>
      </c>
      <c r="B7" s="129" t="s">
        <v>7</v>
      </c>
      <c r="C7" s="116" t="s">
        <v>8</v>
      </c>
      <c r="D7" s="117"/>
      <c r="E7" s="117"/>
      <c r="F7" s="117"/>
      <c r="G7" s="117"/>
      <c r="H7" s="118" t="s">
        <v>9</v>
      </c>
      <c r="I7" s="118"/>
      <c r="J7" s="118"/>
      <c r="K7" s="118" t="s">
        <v>10</v>
      </c>
      <c r="L7" s="118"/>
      <c r="M7" s="118"/>
      <c r="N7" s="118"/>
      <c r="O7" s="118"/>
      <c r="P7" s="118"/>
      <c r="Q7" s="118"/>
      <c r="R7" s="118"/>
      <c r="S7" s="118"/>
      <c r="T7" s="118" t="s">
        <v>11</v>
      </c>
      <c r="U7" s="118"/>
      <c r="V7" s="118"/>
      <c r="W7" s="118"/>
      <c r="X7" s="118" t="s">
        <v>12</v>
      </c>
      <c r="Y7" s="118"/>
      <c r="Z7" s="137" t="s">
        <v>13</v>
      </c>
      <c r="AA7" s="137" t="s">
        <v>14</v>
      </c>
      <c r="AB7" s="136" t="s">
        <v>15</v>
      </c>
    </row>
    <row r="8" spans="1:43" ht="28.5" x14ac:dyDescent="0.25">
      <c r="A8" s="129"/>
      <c r="B8" s="129"/>
      <c r="C8" s="114" t="s">
        <v>16</v>
      </c>
      <c r="D8" s="97" t="s">
        <v>17</v>
      </c>
      <c r="E8" s="114" t="s">
        <v>18</v>
      </c>
      <c r="F8" s="114" t="s">
        <v>19</v>
      </c>
      <c r="G8" s="114" t="s">
        <v>20</v>
      </c>
      <c r="H8" s="115" t="s">
        <v>21</v>
      </c>
      <c r="I8" s="114" t="s">
        <v>22</v>
      </c>
      <c r="J8" s="139" t="s">
        <v>23</v>
      </c>
      <c r="K8" s="115">
        <v>1</v>
      </c>
      <c r="L8" s="115">
        <v>2</v>
      </c>
      <c r="M8" s="115">
        <v>3</v>
      </c>
      <c r="N8" s="115" t="s">
        <v>24</v>
      </c>
      <c r="O8" s="115"/>
      <c r="P8" s="115">
        <v>4</v>
      </c>
      <c r="Q8" s="138" t="s">
        <v>25</v>
      </c>
      <c r="R8" s="115">
        <v>5</v>
      </c>
      <c r="S8" s="138" t="s">
        <v>26</v>
      </c>
      <c r="T8" s="139" t="s">
        <v>27</v>
      </c>
      <c r="U8" s="139" t="s">
        <v>28</v>
      </c>
      <c r="V8" s="139" t="s">
        <v>29</v>
      </c>
      <c r="W8" s="139"/>
      <c r="X8" s="141" t="s">
        <v>30</v>
      </c>
      <c r="Y8" s="139" t="s">
        <v>31</v>
      </c>
      <c r="Z8" s="137"/>
      <c r="AA8" s="137"/>
      <c r="AB8" s="136"/>
    </row>
    <row r="9" spans="1:43" ht="92.25" customHeight="1" x14ac:dyDescent="0.25">
      <c r="A9" s="129"/>
      <c r="B9" s="129"/>
      <c r="C9" s="114"/>
      <c r="D9" s="97" t="s">
        <v>32</v>
      </c>
      <c r="E9" s="114"/>
      <c r="F9" s="114"/>
      <c r="G9" s="114"/>
      <c r="H9" s="115"/>
      <c r="I9" s="114"/>
      <c r="J9" s="139"/>
      <c r="K9" s="115"/>
      <c r="L9" s="115"/>
      <c r="M9" s="115"/>
      <c r="N9" s="34" t="s">
        <v>33</v>
      </c>
      <c r="O9" s="34" t="s">
        <v>34</v>
      </c>
      <c r="P9" s="115"/>
      <c r="Q9" s="138"/>
      <c r="R9" s="115"/>
      <c r="S9" s="138"/>
      <c r="T9" s="140"/>
      <c r="U9" s="139"/>
      <c r="V9" s="99" t="s">
        <v>35</v>
      </c>
      <c r="W9" s="99" t="s">
        <v>36</v>
      </c>
      <c r="X9" s="141"/>
      <c r="Y9" s="139"/>
      <c r="Z9" s="137"/>
      <c r="AA9" s="137"/>
      <c r="AB9" s="136"/>
    </row>
    <row r="10" spans="1:43" x14ac:dyDescent="0.25">
      <c r="A10" s="40"/>
      <c r="B10" s="35"/>
      <c r="C10" s="48">
        <v>1</v>
      </c>
      <c r="D10" s="48">
        <v>2</v>
      </c>
      <c r="E10" s="48">
        <v>3</v>
      </c>
      <c r="F10" s="49" t="s">
        <v>37</v>
      </c>
      <c r="G10" s="48">
        <v>4</v>
      </c>
      <c r="H10" s="36">
        <v>5</v>
      </c>
      <c r="I10" s="49" t="s">
        <v>38</v>
      </c>
      <c r="J10" s="36">
        <v>6</v>
      </c>
      <c r="K10" s="36">
        <v>7</v>
      </c>
      <c r="L10" s="36">
        <v>8</v>
      </c>
      <c r="M10" s="36">
        <v>9</v>
      </c>
      <c r="N10" s="49" t="s">
        <v>39</v>
      </c>
      <c r="O10" s="49" t="s">
        <v>40</v>
      </c>
      <c r="P10" s="36">
        <v>10</v>
      </c>
      <c r="Q10" s="49" t="s">
        <v>41</v>
      </c>
      <c r="R10" s="36">
        <v>11</v>
      </c>
      <c r="S10" s="49" t="s">
        <v>42</v>
      </c>
      <c r="T10" s="36">
        <v>12</v>
      </c>
      <c r="U10" s="36">
        <v>13</v>
      </c>
      <c r="V10" s="36">
        <v>14</v>
      </c>
      <c r="W10" s="36">
        <v>15</v>
      </c>
      <c r="X10" s="36">
        <v>16</v>
      </c>
      <c r="Y10" s="36">
        <v>17</v>
      </c>
      <c r="Z10" s="36">
        <v>18</v>
      </c>
      <c r="AA10" s="36">
        <v>19</v>
      </c>
      <c r="AB10" s="136"/>
    </row>
    <row r="11" spans="1:43" s="43" customFormat="1" ht="34.5" customHeight="1" x14ac:dyDescent="0.25">
      <c r="A11" s="41"/>
      <c r="B11" s="42" t="s">
        <v>43</v>
      </c>
      <c r="C11" s="50">
        <f>C12+C14</f>
        <v>2143</v>
      </c>
      <c r="D11" s="50">
        <f>D12+D14</f>
        <v>20</v>
      </c>
      <c r="E11" s="50">
        <f>E12+E14</f>
        <v>1771</v>
      </c>
      <c r="F11" s="50">
        <f t="shared" ref="F11:V11" si="0">F12+F14</f>
        <v>1771</v>
      </c>
      <c r="G11" s="50">
        <f t="shared" si="0"/>
        <v>20</v>
      </c>
      <c r="H11" s="50">
        <f t="shared" ref="H11:H16" si="1">K11+L11+M11+P11+R11</f>
        <v>1771</v>
      </c>
      <c r="I11" s="50">
        <f t="shared" si="0"/>
        <v>1771</v>
      </c>
      <c r="J11" s="50">
        <f t="shared" si="0"/>
        <v>0</v>
      </c>
      <c r="K11" s="50">
        <f t="shared" si="0"/>
        <v>19</v>
      </c>
      <c r="L11" s="50">
        <f t="shared" si="0"/>
        <v>1683</v>
      </c>
      <c r="M11" s="50">
        <f t="shared" si="0"/>
        <v>49</v>
      </c>
      <c r="N11" s="50">
        <f t="shared" si="0"/>
        <v>49</v>
      </c>
      <c r="O11" s="50">
        <f t="shared" si="0"/>
        <v>0</v>
      </c>
      <c r="P11" s="50">
        <f t="shared" si="0"/>
        <v>18</v>
      </c>
      <c r="Q11" s="50">
        <f t="shared" si="0"/>
        <v>18</v>
      </c>
      <c r="R11" s="50">
        <f t="shared" si="0"/>
        <v>2</v>
      </c>
      <c r="S11" s="50">
        <f t="shared" si="0"/>
        <v>2</v>
      </c>
      <c r="T11" s="50">
        <f t="shared" si="0"/>
        <v>420</v>
      </c>
      <c r="U11" s="50">
        <f t="shared" si="0"/>
        <v>1297</v>
      </c>
      <c r="V11" s="50">
        <f t="shared" si="0"/>
        <v>48</v>
      </c>
      <c r="W11" s="50">
        <f>W12+W14</f>
        <v>6</v>
      </c>
      <c r="X11" s="50">
        <f>X12+X14</f>
        <v>1068</v>
      </c>
      <c r="Y11" s="50">
        <f>Y12+Y14</f>
        <v>1036</v>
      </c>
      <c r="Z11" s="50">
        <f>Z12+Z14</f>
        <v>238</v>
      </c>
      <c r="AA11" s="50">
        <f>AA12+AA14</f>
        <v>238</v>
      </c>
      <c r="AB11" s="20" t="str">
        <f>IF(AE11&gt;0,"гр.2 &gt; гр.1 по строке «"&amp;AD11&amp;"»","ОК")</f>
        <v>ОК</v>
      </c>
      <c r="AC11" s="72" t="s">
        <v>44</v>
      </c>
      <c r="AD11" s="21" t="str">
        <f t="shared" ref="AD11:AD24" si="2">IF(AE11&gt;0,INDEX($A$12:$A$16,AE11,1),CHAR(151))</f>
        <v>—</v>
      </c>
      <c r="AE11" s="22">
        <f t="shared" ref="AE11:AE24" si="3">IF(ISERROR(MATCH(FALSE,AF11:AJ11,0)),0,MATCH(FALSE,AF11:AJ11,0))</f>
        <v>0</v>
      </c>
      <c r="AF11" s="22" t="b">
        <f>$D12&lt;=$C12</f>
        <v>1</v>
      </c>
      <c r="AG11" s="22" t="b">
        <f>$D13&lt;=$C13</f>
        <v>1</v>
      </c>
      <c r="AH11" s="22" t="b">
        <f>$D14&lt;=$C14</f>
        <v>1</v>
      </c>
      <c r="AI11" s="22" t="b">
        <f>$D15&lt;=$C15</f>
        <v>1</v>
      </c>
      <c r="AJ11" s="22" t="b">
        <f>$D16&lt;=$C16</f>
        <v>1</v>
      </c>
    </row>
    <row r="12" spans="1:43" ht="30" x14ac:dyDescent="0.25">
      <c r="A12" s="40">
        <v>1</v>
      </c>
      <c r="B12" s="44" t="s">
        <v>45</v>
      </c>
      <c r="C12" s="111">
        <v>1768</v>
      </c>
      <c r="D12" s="111">
        <v>16</v>
      </c>
      <c r="E12" s="111">
        <v>1410</v>
      </c>
      <c r="F12" s="111">
        <v>1410</v>
      </c>
      <c r="G12" s="111">
        <v>16</v>
      </c>
      <c r="H12" s="94">
        <f t="shared" si="1"/>
        <v>1410</v>
      </c>
      <c r="I12" s="111">
        <v>1410</v>
      </c>
      <c r="J12" s="111"/>
      <c r="K12" s="111">
        <v>17</v>
      </c>
      <c r="L12" s="111">
        <v>1343</v>
      </c>
      <c r="M12" s="94">
        <f>N12+O12</f>
        <v>34</v>
      </c>
      <c r="N12" s="111">
        <v>34</v>
      </c>
      <c r="O12" s="111"/>
      <c r="P12" s="111">
        <v>14</v>
      </c>
      <c r="Q12" s="111">
        <v>14</v>
      </c>
      <c r="R12" s="111">
        <v>2</v>
      </c>
      <c r="S12" s="111">
        <v>2</v>
      </c>
      <c r="T12" s="111">
        <v>386</v>
      </c>
      <c r="U12" s="111">
        <v>985</v>
      </c>
      <c r="V12" s="111">
        <v>33</v>
      </c>
      <c r="W12" s="111">
        <v>6</v>
      </c>
      <c r="X12" s="111">
        <v>924</v>
      </c>
      <c r="Y12" s="112">
        <v>899</v>
      </c>
      <c r="Z12" s="112">
        <v>195</v>
      </c>
      <c r="AA12" s="112">
        <v>195</v>
      </c>
      <c r="AB12" s="20" t="str">
        <f>IF(AE12&gt;0,"гр.3 &gt; гр.1 по строке «"&amp;AD12&amp;"»","ОК")</f>
        <v>ОК</v>
      </c>
      <c r="AC12" s="72" t="s">
        <v>46</v>
      </c>
      <c r="AD12" s="21" t="str">
        <f t="shared" si="2"/>
        <v>—</v>
      </c>
      <c r="AE12" s="22">
        <f t="shared" si="3"/>
        <v>0</v>
      </c>
      <c r="AF12" s="22" t="b">
        <f>$E12&lt;=$C12</f>
        <v>1</v>
      </c>
      <c r="AG12" s="22" t="b">
        <f>$E13&lt;=$C13</f>
        <v>1</v>
      </c>
      <c r="AH12" s="22" t="b">
        <f>$E14&lt;=$C14</f>
        <v>1</v>
      </c>
      <c r="AI12" s="22" t="b">
        <f>$E15&lt;=$C15</f>
        <v>1</v>
      </c>
      <c r="AJ12" s="22" t="b">
        <f>$E16&lt;=$C16</f>
        <v>1</v>
      </c>
      <c r="AK12" s="37"/>
      <c r="AL12" s="37"/>
      <c r="AM12" s="37"/>
      <c r="AN12" s="37"/>
      <c r="AO12" s="37"/>
      <c r="AP12" s="37"/>
      <c r="AQ12" s="37"/>
    </row>
    <row r="13" spans="1:43" customFormat="1" ht="30" x14ac:dyDescent="0.25">
      <c r="A13" s="40">
        <v>2</v>
      </c>
      <c r="B13" s="45" t="s">
        <v>47</v>
      </c>
      <c r="C13" s="111">
        <v>60</v>
      </c>
      <c r="D13" s="111">
        <v>0</v>
      </c>
      <c r="E13" s="111">
        <v>60</v>
      </c>
      <c r="F13" s="111">
        <v>60</v>
      </c>
      <c r="G13" s="111">
        <v>0</v>
      </c>
      <c r="H13" s="94">
        <f t="shared" si="1"/>
        <v>60</v>
      </c>
      <c r="I13" s="111">
        <v>60</v>
      </c>
      <c r="J13" s="111"/>
      <c r="K13" s="111"/>
      <c r="L13" s="111">
        <v>60</v>
      </c>
      <c r="M13" s="94">
        <f>N13+O13</f>
        <v>0</v>
      </c>
      <c r="N13" s="111"/>
      <c r="O13" s="111"/>
      <c r="P13" s="111"/>
      <c r="Q13" s="111"/>
      <c r="R13" s="111"/>
      <c r="S13" s="111"/>
      <c r="T13" s="77" t="s">
        <v>48</v>
      </c>
      <c r="U13" s="77" t="s">
        <v>48</v>
      </c>
      <c r="V13" s="77" t="s">
        <v>48</v>
      </c>
      <c r="W13" s="77" t="s">
        <v>48</v>
      </c>
      <c r="X13" s="111">
        <v>23</v>
      </c>
      <c r="Y13" s="112">
        <v>20</v>
      </c>
      <c r="Z13" s="112"/>
      <c r="AA13" s="112"/>
      <c r="AB13" s="20" t="str">
        <f>IF(AE13&gt;0,"гр.3.1 &gt; гр.3 по строке «"&amp;AD13&amp;"»","ОК")</f>
        <v>ОК</v>
      </c>
      <c r="AC13" s="72" t="s">
        <v>49</v>
      </c>
      <c r="AD13" s="21" t="str">
        <f t="shared" si="2"/>
        <v>—</v>
      </c>
      <c r="AE13" s="22">
        <f t="shared" si="3"/>
        <v>0</v>
      </c>
      <c r="AF13" s="22" t="b">
        <f>$F12&lt;=$E12</f>
        <v>1</v>
      </c>
      <c r="AG13" s="22" t="b">
        <f>$F13&lt;=$E13</f>
        <v>1</v>
      </c>
      <c r="AH13" s="22" t="b">
        <f>$F14&lt;=$E14</f>
        <v>1</v>
      </c>
      <c r="AI13" s="22" t="b">
        <f>$F15&lt;=$E15</f>
        <v>1</v>
      </c>
      <c r="AJ13" s="22" t="b">
        <f>$F16&lt;=$E16</f>
        <v>1</v>
      </c>
      <c r="AK13" s="37"/>
      <c r="AL13" s="37"/>
      <c r="AM13" s="37"/>
      <c r="AN13" s="37"/>
      <c r="AO13" s="37"/>
      <c r="AP13" s="37"/>
      <c r="AQ13" s="37"/>
    </row>
    <row r="14" spans="1:43" customFormat="1" ht="30" x14ac:dyDescent="0.25">
      <c r="A14" s="40">
        <v>3</v>
      </c>
      <c r="B14" s="45" t="s">
        <v>50</v>
      </c>
      <c r="C14" s="111">
        <v>375</v>
      </c>
      <c r="D14" s="111">
        <v>4</v>
      </c>
      <c r="E14" s="111">
        <v>361</v>
      </c>
      <c r="F14" s="111">
        <v>361</v>
      </c>
      <c r="G14" s="111">
        <v>4</v>
      </c>
      <c r="H14" s="94">
        <f t="shared" si="1"/>
        <v>361</v>
      </c>
      <c r="I14" s="111">
        <v>361</v>
      </c>
      <c r="J14" s="111"/>
      <c r="K14" s="111">
        <v>2</v>
      </c>
      <c r="L14" s="111">
        <v>340</v>
      </c>
      <c r="M14" s="94">
        <f>N14+O14</f>
        <v>15</v>
      </c>
      <c r="N14" s="111">
        <v>15</v>
      </c>
      <c r="O14" s="111"/>
      <c r="P14" s="111">
        <v>4</v>
      </c>
      <c r="Q14" s="111">
        <v>4</v>
      </c>
      <c r="R14" s="111"/>
      <c r="S14" s="111"/>
      <c r="T14" s="111">
        <v>34</v>
      </c>
      <c r="U14" s="111">
        <v>312</v>
      </c>
      <c r="V14" s="111">
        <v>15</v>
      </c>
      <c r="W14" s="111"/>
      <c r="X14" s="111">
        <v>144</v>
      </c>
      <c r="Y14" s="112">
        <v>137</v>
      </c>
      <c r="Z14" s="112">
        <v>43</v>
      </c>
      <c r="AA14" s="112">
        <v>43</v>
      </c>
      <c r="AB14" s="20" t="str">
        <f>IF(AE14&gt;0,"гр.4 &gt; гр.2 по строке «"&amp;AD14&amp;"»","ОК")</f>
        <v>ОК</v>
      </c>
      <c r="AC14" s="72" t="s">
        <v>51</v>
      </c>
      <c r="AD14" s="21" t="str">
        <f t="shared" si="2"/>
        <v>—</v>
      </c>
      <c r="AE14" s="22">
        <f t="shared" si="3"/>
        <v>0</v>
      </c>
      <c r="AF14" s="22" t="b">
        <f>$G12&lt;=$D12</f>
        <v>1</v>
      </c>
      <c r="AG14" s="22" t="b">
        <f>$G13&lt;=$D13</f>
        <v>1</v>
      </c>
      <c r="AH14" s="22" t="b">
        <f>$G14&lt;=$D14</f>
        <v>1</v>
      </c>
      <c r="AI14" s="22" t="b">
        <f>$G15&lt;=$D15</f>
        <v>1</v>
      </c>
      <c r="AJ14" s="22" t="b">
        <f>$G16&lt;=$D16</f>
        <v>1</v>
      </c>
      <c r="AK14" s="37"/>
      <c r="AL14" s="37"/>
      <c r="AM14" s="37"/>
      <c r="AN14" s="37"/>
      <c r="AO14" s="37"/>
      <c r="AP14" s="37"/>
      <c r="AQ14" s="37"/>
    </row>
    <row r="15" spans="1:43" customFormat="1" ht="30" x14ac:dyDescent="0.25">
      <c r="A15" s="40">
        <v>4</v>
      </c>
      <c r="B15" s="45" t="s">
        <v>52</v>
      </c>
      <c r="C15" s="111">
        <v>190</v>
      </c>
      <c r="D15" s="111">
        <v>3</v>
      </c>
      <c r="E15" s="111">
        <v>182</v>
      </c>
      <c r="F15" s="111">
        <v>182</v>
      </c>
      <c r="G15" s="111">
        <v>3</v>
      </c>
      <c r="H15" s="94">
        <f t="shared" si="1"/>
        <v>182</v>
      </c>
      <c r="I15" s="111">
        <v>182</v>
      </c>
      <c r="J15" s="111"/>
      <c r="K15" s="111">
        <v>1</v>
      </c>
      <c r="L15" s="111">
        <v>171</v>
      </c>
      <c r="M15" s="94">
        <f>N15+O15</f>
        <v>7</v>
      </c>
      <c r="N15" s="111">
        <v>7</v>
      </c>
      <c r="O15" s="111"/>
      <c r="P15" s="111">
        <v>3</v>
      </c>
      <c r="Q15" s="111">
        <v>3</v>
      </c>
      <c r="R15" s="111"/>
      <c r="S15" s="111"/>
      <c r="T15" s="111">
        <v>6</v>
      </c>
      <c r="U15" s="111">
        <v>107</v>
      </c>
      <c r="V15" s="111">
        <v>7</v>
      </c>
      <c r="W15" s="111"/>
      <c r="X15" s="111">
        <v>83</v>
      </c>
      <c r="Y15" s="112">
        <v>83</v>
      </c>
      <c r="Z15" s="112">
        <v>28</v>
      </c>
      <c r="AA15" s="112">
        <v>28</v>
      </c>
      <c r="AB15" s="20" t="str">
        <f>IF(AE15&gt;0,"гр.5 &gt; гр.3 по строке «"&amp;AD15&amp;"»","ОК")</f>
        <v>ОК</v>
      </c>
      <c r="AC15" s="72" t="s">
        <v>53</v>
      </c>
      <c r="AD15" s="21" t="str">
        <f t="shared" si="2"/>
        <v>—</v>
      </c>
      <c r="AE15" s="22">
        <f t="shared" si="3"/>
        <v>0</v>
      </c>
      <c r="AF15" s="22" t="b">
        <f>$H12&lt;=$E12</f>
        <v>1</v>
      </c>
      <c r="AG15" s="22" t="b">
        <f>$H13&lt;=$E13</f>
        <v>1</v>
      </c>
      <c r="AH15" s="22" t="b">
        <f>$H14&lt;=$E14</f>
        <v>1</v>
      </c>
      <c r="AI15" s="22" t="b">
        <f>$H15&lt;=$E15</f>
        <v>1</v>
      </c>
      <c r="AJ15" s="22" t="b">
        <f>$H16&lt;=$E16</f>
        <v>1</v>
      </c>
      <c r="AK15" s="37"/>
      <c r="AL15" s="37"/>
      <c r="AM15" s="37"/>
      <c r="AN15" s="37"/>
      <c r="AO15" s="37"/>
      <c r="AP15" s="37"/>
      <c r="AQ15" s="37"/>
    </row>
    <row r="16" spans="1:43" customFormat="1" ht="30" x14ac:dyDescent="0.25">
      <c r="A16" s="40">
        <v>5</v>
      </c>
      <c r="B16" s="45" t="s">
        <v>54</v>
      </c>
      <c r="C16" s="111">
        <v>1783</v>
      </c>
      <c r="D16" s="111">
        <v>19</v>
      </c>
      <c r="E16" s="111">
        <v>1473</v>
      </c>
      <c r="F16" s="111">
        <v>1473</v>
      </c>
      <c r="G16" s="111">
        <v>19</v>
      </c>
      <c r="H16" s="94">
        <f t="shared" si="1"/>
        <v>1473</v>
      </c>
      <c r="I16" s="111">
        <v>1473</v>
      </c>
      <c r="J16" s="111"/>
      <c r="K16" s="111">
        <v>11</v>
      </c>
      <c r="L16" s="111">
        <v>1397</v>
      </c>
      <c r="M16" s="94">
        <f>N16+O16</f>
        <v>48</v>
      </c>
      <c r="N16" s="111">
        <v>48</v>
      </c>
      <c r="O16" s="111"/>
      <c r="P16" s="111">
        <v>17</v>
      </c>
      <c r="Q16" s="111">
        <v>17</v>
      </c>
      <c r="R16" s="111"/>
      <c r="S16" s="111"/>
      <c r="T16" s="111">
        <v>370</v>
      </c>
      <c r="U16" s="111">
        <v>1006</v>
      </c>
      <c r="V16" s="111">
        <v>40</v>
      </c>
      <c r="W16" s="111">
        <v>5</v>
      </c>
      <c r="X16" s="111">
        <v>820</v>
      </c>
      <c r="Y16" s="112">
        <v>808</v>
      </c>
      <c r="Z16" s="112">
        <v>186</v>
      </c>
      <c r="AA16" s="112">
        <v>186</v>
      </c>
      <c r="AB16" s="20" t="str">
        <f>IF(AE16&gt;0,"гр.5.1 &gt; гр.5 по строке «"&amp;AD16&amp;"»","ОК")</f>
        <v>ОК</v>
      </c>
      <c r="AC16" s="72" t="s">
        <v>55</v>
      </c>
      <c r="AD16" s="21" t="str">
        <f t="shared" si="2"/>
        <v>—</v>
      </c>
      <c r="AE16" s="22">
        <f t="shared" si="3"/>
        <v>0</v>
      </c>
      <c r="AF16" s="22" t="b">
        <f>$I12&lt;=$H12</f>
        <v>1</v>
      </c>
      <c r="AG16" s="22" t="b">
        <f>$I13&lt;=$H13</f>
        <v>1</v>
      </c>
      <c r="AH16" s="22" t="b">
        <f>$I14&lt;=$H14</f>
        <v>1</v>
      </c>
      <c r="AI16" s="22" t="b">
        <f>$I15&lt;=$H15</f>
        <v>1</v>
      </c>
      <c r="AJ16" s="22" t="b">
        <f>$I16&lt;=$H16</f>
        <v>1</v>
      </c>
      <c r="AK16" s="37"/>
      <c r="AL16" s="37"/>
      <c r="AM16" s="37"/>
      <c r="AN16" s="37"/>
      <c r="AO16" s="37"/>
      <c r="AP16" s="37"/>
      <c r="AQ16" s="37"/>
    </row>
    <row r="17" spans="1:62" ht="34.5" customHeight="1" x14ac:dyDescent="0.25">
      <c r="B17" s="37"/>
      <c r="C17" s="55"/>
      <c r="D17" s="55"/>
      <c r="E17" s="55"/>
      <c r="F17" s="55"/>
      <c r="G17" s="55"/>
      <c r="H17" s="50">
        <f>H12+H14</f>
        <v>1771</v>
      </c>
      <c r="I17" s="38"/>
      <c r="J17"/>
      <c r="K17" s="56"/>
      <c r="L17" s="56"/>
      <c r="M17" s="55"/>
      <c r="N17" s="55"/>
      <c r="O17" s="55"/>
      <c r="P17" s="55"/>
      <c r="Q17"/>
      <c r="R17" s="55"/>
      <c r="S17" s="55"/>
      <c r="T17" s="55"/>
      <c r="U17" s="55"/>
      <c r="V17" s="55"/>
      <c r="W17" s="50">
        <f>T11+U11+V11+W11</f>
        <v>1771</v>
      </c>
      <c r="X17" s="57"/>
      <c r="Y17" s="57"/>
      <c r="Z17" s="57"/>
      <c r="AA17" s="58"/>
      <c r="AB17" s="20" t="str">
        <f>IF(AE17&gt;0,"гр.6 &gt; гр.5 по строке «"&amp;AD17&amp;"»","ОК")</f>
        <v>ОК</v>
      </c>
      <c r="AC17" s="72" t="s">
        <v>56</v>
      </c>
      <c r="AD17" s="21" t="str">
        <f t="shared" si="2"/>
        <v>—</v>
      </c>
      <c r="AE17" s="22">
        <f t="shared" si="3"/>
        <v>0</v>
      </c>
      <c r="AF17" s="22" t="b">
        <f>$J12&lt;=$H12</f>
        <v>1</v>
      </c>
      <c r="AG17" s="22" t="b">
        <f>$J13&lt;=$H13</f>
        <v>1</v>
      </c>
      <c r="AH17" s="22" t="b">
        <f>$J14&lt;=$H14</f>
        <v>1</v>
      </c>
      <c r="AI17" s="22" t="b">
        <f>$J15&lt;=$H15</f>
        <v>1</v>
      </c>
      <c r="AJ17" s="78" t="b">
        <v>1</v>
      </c>
      <c r="AK17" s="37"/>
      <c r="AL17" s="37"/>
      <c r="AM17" s="37"/>
      <c r="AN17" s="37"/>
      <c r="AO17" s="37"/>
      <c r="AP17" s="37"/>
      <c r="AQ17" s="37"/>
    </row>
    <row r="18" spans="1:62" ht="30" customHeight="1" x14ac:dyDescent="0.25">
      <c r="H18" s="6" t="s">
        <v>57</v>
      </c>
      <c r="AB18" s="20" t="str">
        <f>IF(AE18&gt;0,"гр.10.1 &gt; гр.10 по строке «"&amp;AD18&amp;"»","ОК")</f>
        <v>ОК</v>
      </c>
      <c r="AC18" s="72" t="s">
        <v>58</v>
      </c>
      <c r="AD18" s="21" t="str">
        <f t="shared" si="2"/>
        <v>—</v>
      </c>
      <c r="AE18" s="22">
        <f t="shared" si="3"/>
        <v>0</v>
      </c>
      <c r="AF18" s="22" t="b">
        <f>$Q12&lt;=$P12</f>
        <v>1</v>
      </c>
      <c r="AG18" s="22" t="b">
        <f>$Q13&lt;=$P13</f>
        <v>1</v>
      </c>
      <c r="AH18" s="22" t="b">
        <f>$Q14&lt;=$P14</f>
        <v>1</v>
      </c>
      <c r="AI18" s="22" t="b">
        <f>$Q15&lt;=$P15</f>
        <v>1</v>
      </c>
      <c r="AJ18" s="22" t="b">
        <f>$Q16&lt;=$P16</f>
        <v>1</v>
      </c>
    </row>
    <row r="19" spans="1:62" ht="30" x14ac:dyDescent="0.25">
      <c r="D19"/>
      <c r="E19"/>
      <c r="F19"/>
      <c r="G19"/>
      <c r="H19"/>
      <c r="I19"/>
      <c r="J19"/>
      <c r="K19"/>
      <c r="L19"/>
      <c r="M19"/>
      <c r="N19"/>
      <c r="O19"/>
      <c r="P19"/>
      <c r="AB19" s="20" t="str">
        <f>IF(AE19&gt;0,"гр.11.1 &gt; гр.11 по строке «"&amp;AD19&amp;"»","ОК")</f>
        <v>ОК</v>
      </c>
      <c r="AC19" s="72" t="s">
        <v>59</v>
      </c>
      <c r="AD19" s="21" t="str">
        <f t="shared" si="2"/>
        <v>—</v>
      </c>
      <c r="AE19" s="22">
        <f t="shared" si="3"/>
        <v>0</v>
      </c>
      <c r="AF19" s="22" t="b">
        <f>$S12&lt;=$R12</f>
        <v>1</v>
      </c>
      <c r="AG19" s="22" t="b">
        <f>$S13&lt;=$R13</f>
        <v>1</v>
      </c>
      <c r="AH19" s="22" t="b">
        <f>$S14&lt;=$R14</f>
        <v>1</v>
      </c>
      <c r="AI19" s="22" t="b">
        <f>$S15&lt;=$R15</f>
        <v>1</v>
      </c>
      <c r="AJ19" s="22" t="b">
        <f>$S16&lt;=$R16</f>
        <v>1</v>
      </c>
    </row>
    <row r="20" spans="1:62" ht="45.75" thickBot="1" x14ac:dyDescent="0.3">
      <c r="AB20" s="20" t="str">
        <f>IF(AE20&gt;0,"гр.12+гр.13+гр.14+гр.15 &gt; гр.5 по строке «"&amp;AD20&amp;"»","ОК")</f>
        <v>ОК</v>
      </c>
      <c r="AC20" s="72" t="s">
        <v>60</v>
      </c>
      <c r="AD20" s="21" t="str">
        <f t="shared" si="2"/>
        <v>—</v>
      </c>
      <c r="AE20" s="22">
        <f t="shared" si="3"/>
        <v>0</v>
      </c>
      <c r="AF20" s="22" t="b">
        <f>SUM($T12:$W12)&lt;=$H12</f>
        <v>1</v>
      </c>
      <c r="AG20" s="22" t="b">
        <f>SUM($T13:$W13)&lt;=$H13</f>
        <v>1</v>
      </c>
      <c r="AH20" s="22" t="b">
        <f>SUM($T14:$W14)&lt;=$H14</f>
        <v>1</v>
      </c>
      <c r="AI20" s="22" t="b">
        <f>SUM($T15:$W15)&lt;=$H15</f>
        <v>1</v>
      </c>
      <c r="AJ20" s="22" t="b">
        <f>SUM($T16:$W16)&lt;=$H16</f>
        <v>1</v>
      </c>
    </row>
    <row r="21" spans="1:62" ht="30" x14ac:dyDescent="0.25">
      <c r="C21" s="142" t="s">
        <v>61</v>
      </c>
      <c r="D21" s="143"/>
      <c r="E21" s="144" t="s">
        <v>290</v>
      </c>
      <c r="F21" s="145"/>
      <c r="G21" s="146"/>
      <c r="AB21" s="20" t="str">
        <f>IF(AE21&gt;0,"гр.16 &gt; гр.5 по строке «"&amp;AD21&amp;"»","ОК")</f>
        <v>ОК</v>
      </c>
      <c r="AC21" s="72" t="s">
        <v>62</v>
      </c>
      <c r="AD21" s="21" t="str">
        <f t="shared" si="2"/>
        <v>—</v>
      </c>
      <c r="AE21" s="22">
        <f t="shared" si="3"/>
        <v>0</v>
      </c>
      <c r="AF21" s="22" t="b">
        <f>$X12&lt;=$H12</f>
        <v>1</v>
      </c>
      <c r="AG21" s="22" t="b">
        <f>$X13&lt;=$H13</f>
        <v>1</v>
      </c>
      <c r="AH21" s="22" t="b">
        <f>$X14&lt;=$H14</f>
        <v>1</v>
      </c>
      <c r="AI21" s="22" t="b">
        <f>$X15&lt;=$H15</f>
        <v>1</v>
      </c>
      <c r="AJ21" s="22" t="b">
        <f>$X16&lt;=$H16</f>
        <v>1</v>
      </c>
    </row>
    <row r="22" spans="1:62" ht="30" x14ac:dyDescent="0.25">
      <c r="C22" s="119" t="s">
        <v>63</v>
      </c>
      <c r="D22" s="120"/>
      <c r="E22" s="121" t="s">
        <v>291</v>
      </c>
      <c r="F22" s="122"/>
      <c r="G22" s="123"/>
      <c r="AB22" s="20" t="str">
        <f>IF(AE22&gt;0,"гр.17 &gt; гр.16 по строке «"&amp;AD22&amp;"»","ОК")</f>
        <v>ОК</v>
      </c>
      <c r="AC22" s="72" t="s">
        <v>64</v>
      </c>
      <c r="AD22" s="21" t="str">
        <f t="shared" si="2"/>
        <v>—</v>
      </c>
      <c r="AE22" s="22">
        <f t="shared" si="3"/>
        <v>0</v>
      </c>
      <c r="AF22" s="22" t="b">
        <f>$Y12&lt;=$X12</f>
        <v>1</v>
      </c>
      <c r="AG22" s="22" t="b">
        <f>$Y13&lt;=$X13</f>
        <v>1</v>
      </c>
      <c r="AH22" s="22" t="b">
        <f>$Y14&lt;=$X14</f>
        <v>1</v>
      </c>
      <c r="AI22" s="22" t="b">
        <f>$Y15&lt;=$X15</f>
        <v>1</v>
      </c>
      <c r="AJ22" s="22" t="b">
        <f>$Y16&lt;=$X16</f>
        <v>1</v>
      </c>
    </row>
    <row r="23" spans="1:62" ht="30.75" thickBot="1" x14ac:dyDescent="0.3">
      <c r="C23" s="124" t="s">
        <v>65</v>
      </c>
      <c r="D23" s="125"/>
      <c r="E23" s="126">
        <v>89047542538</v>
      </c>
      <c r="F23" s="127"/>
      <c r="G23" s="128"/>
      <c r="AB23" s="20" t="str">
        <f>IF(AE23&gt;0,"гр.18 &gt; гр.5 по строке «"&amp;AD23&amp;"»","ОК")</f>
        <v>ОК</v>
      </c>
      <c r="AC23" s="72" t="s">
        <v>66</v>
      </c>
      <c r="AD23" s="21" t="str">
        <f t="shared" si="2"/>
        <v>—</v>
      </c>
      <c r="AE23" s="22">
        <f t="shared" si="3"/>
        <v>0</v>
      </c>
      <c r="AF23" s="22" t="b">
        <f>$Z12&lt;=$H12</f>
        <v>1</v>
      </c>
      <c r="AG23" s="22" t="b">
        <f>$Z13&lt;=$H13</f>
        <v>1</v>
      </c>
      <c r="AH23" s="22" t="b">
        <f>$Z14&lt;=$H14</f>
        <v>1</v>
      </c>
      <c r="AI23" s="22" t="b">
        <f>$Z15&lt;=$H15</f>
        <v>1</v>
      </c>
      <c r="AJ23" s="22" t="b">
        <f>$Z16&lt;=$H16</f>
        <v>1</v>
      </c>
    </row>
    <row r="24" spans="1:62" ht="30" x14ac:dyDescent="0.25">
      <c r="AB24" s="20" t="str">
        <f>IF(AE24&gt;0,"гр.19 &gt; гр.18 по строке «"&amp;AD24&amp;"»","ОК")</f>
        <v>ОК</v>
      </c>
      <c r="AC24" s="72" t="s">
        <v>67</v>
      </c>
      <c r="AD24" s="21" t="str">
        <f t="shared" si="2"/>
        <v>—</v>
      </c>
      <c r="AE24" s="22">
        <f t="shared" si="3"/>
        <v>0</v>
      </c>
      <c r="AF24" s="22" t="b">
        <f>$AA12&lt;=$Z12</f>
        <v>1</v>
      </c>
      <c r="AG24" s="22" t="b">
        <f>$AA13&lt;=$Z13</f>
        <v>1</v>
      </c>
      <c r="AH24" s="22" t="b">
        <f>$AA14&lt;=$Z14</f>
        <v>1</v>
      </c>
      <c r="AI24" s="22" t="b">
        <f>$AA15&lt;=$Z15</f>
        <v>1</v>
      </c>
      <c r="AJ24" s="22" t="b">
        <f>$AA16&lt;=$Z16</f>
        <v>1</v>
      </c>
    </row>
    <row r="25" spans="1:62" ht="105" x14ac:dyDescent="0.25">
      <c r="A25" s="35" t="s">
        <v>6</v>
      </c>
      <c r="B25" s="46" t="s">
        <v>68</v>
      </c>
      <c r="C25" s="44" t="s">
        <v>69</v>
      </c>
      <c r="D25" s="44" t="s">
        <v>70</v>
      </c>
      <c r="E25" s="44" t="s">
        <v>71</v>
      </c>
      <c r="F25" s="44" t="s">
        <v>70</v>
      </c>
      <c r="G25" s="44" t="s">
        <v>72</v>
      </c>
      <c r="H25" s="44" t="s">
        <v>73</v>
      </c>
      <c r="I25" s="44" t="s">
        <v>74</v>
      </c>
      <c r="J25" s="44" t="s">
        <v>33</v>
      </c>
      <c r="K25" s="44" t="s">
        <v>34</v>
      </c>
      <c r="L25" s="44" t="s">
        <v>75</v>
      </c>
      <c r="M25" s="44" t="s">
        <v>76</v>
      </c>
      <c r="AB25" s="20" t="str">
        <f>IF(AE25&gt;0,"стр.2 &gt;= стр.1 по графе "&amp;AD25,"ОК")</f>
        <v>ОК</v>
      </c>
      <c r="AC25" s="72" t="s">
        <v>77</v>
      </c>
      <c r="AD25" s="73" t="str">
        <f>IF(AE25&gt;0,INDEX($C$10:$AA$10,1,AE25),CHAR(151))</f>
        <v>—</v>
      </c>
      <c r="AE25" s="74">
        <f>IF(ISERROR(MATCH(FALSE,AF25:BD25,0)),0,MATCH(FALSE,AF25:BD25,0))</f>
        <v>0</v>
      </c>
      <c r="AF25" s="74" t="b">
        <f>IF(OR(C13&lt;&gt;"",C12&lt;&gt;""),C13&lt;C12,TRUE)</f>
        <v>1</v>
      </c>
      <c r="AG25" s="74" t="b">
        <f t="shared" ref="AG25:BD25" si="4">IF(OR(D13&lt;&gt;"",D12&lt;&gt;""),D13&lt;D12,TRUE)</f>
        <v>1</v>
      </c>
      <c r="AH25" s="74" t="b">
        <f t="shared" si="4"/>
        <v>1</v>
      </c>
      <c r="AI25" s="74" t="b">
        <f t="shared" si="4"/>
        <v>1</v>
      </c>
      <c r="AJ25" s="74" t="b">
        <f t="shared" si="4"/>
        <v>1</v>
      </c>
      <c r="AK25" s="75" t="b">
        <v>1</v>
      </c>
      <c r="AL25" s="74" t="b">
        <f t="shared" si="4"/>
        <v>1</v>
      </c>
      <c r="AM25" s="74" t="b">
        <f t="shared" si="4"/>
        <v>1</v>
      </c>
      <c r="AN25" s="74" t="b">
        <f t="shared" si="4"/>
        <v>1</v>
      </c>
      <c r="AO25" s="74" t="b">
        <f t="shared" si="4"/>
        <v>1</v>
      </c>
      <c r="AP25" s="75" t="b">
        <v>1</v>
      </c>
      <c r="AQ25" s="74" t="b">
        <f t="shared" si="4"/>
        <v>1</v>
      </c>
      <c r="AR25" s="74" t="b">
        <f t="shared" si="4"/>
        <v>1</v>
      </c>
      <c r="AS25" s="74" t="b">
        <f t="shared" si="4"/>
        <v>1</v>
      </c>
      <c r="AT25" s="74" t="b">
        <f t="shared" si="4"/>
        <v>1</v>
      </c>
      <c r="AU25" s="74" t="b">
        <f t="shared" si="4"/>
        <v>1</v>
      </c>
      <c r="AV25" s="74" t="b">
        <f t="shared" si="4"/>
        <v>1</v>
      </c>
      <c r="AW25" s="75" t="b">
        <v>1</v>
      </c>
      <c r="AX25" s="75" t="b">
        <v>1</v>
      </c>
      <c r="AY25" s="75" t="b">
        <v>1</v>
      </c>
      <c r="AZ25" s="75" t="b">
        <v>1</v>
      </c>
      <c r="BA25" s="74" t="b">
        <f t="shared" si="4"/>
        <v>1</v>
      </c>
      <c r="BB25" s="74" t="b">
        <f t="shared" si="4"/>
        <v>1</v>
      </c>
      <c r="BC25" s="74" t="b">
        <f t="shared" si="4"/>
        <v>1</v>
      </c>
      <c r="BD25" s="74" t="b">
        <f t="shared" si="4"/>
        <v>1</v>
      </c>
      <c r="BE25" s="74"/>
      <c r="BF25" s="74"/>
      <c r="BG25" s="74"/>
      <c r="BH25" s="74"/>
      <c r="BI25" s="74"/>
      <c r="BJ25" s="74"/>
    </row>
    <row r="26" spans="1:62" ht="30" x14ac:dyDescent="0.25">
      <c r="A26" s="35"/>
      <c r="B26" s="47" t="s">
        <v>78</v>
      </c>
      <c r="C26" s="28" t="s">
        <v>79</v>
      </c>
      <c r="D26" s="28" t="s">
        <v>80</v>
      </c>
      <c r="E26" s="28" t="s">
        <v>81</v>
      </c>
      <c r="F26" s="28" t="s">
        <v>82</v>
      </c>
      <c r="G26" s="28" t="s">
        <v>83</v>
      </c>
      <c r="H26" s="28" t="s">
        <v>84</v>
      </c>
      <c r="I26" s="28" t="s">
        <v>85</v>
      </c>
      <c r="J26" s="28" t="s">
        <v>86</v>
      </c>
      <c r="K26" s="28" t="s">
        <v>87</v>
      </c>
      <c r="L26" s="28" t="s">
        <v>88</v>
      </c>
      <c r="M26" s="28" t="s">
        <v>89</v>
      </c>
      <c r="AB26" s="20" t="str">
        <f>IF(AE26&gt;0,"стр.4 &gt;= стр.3 по графе "&amp;AD26,"ОК")</f>
        <v>ОК</v>
      </c>
      <c r="AC26" s="72" t="s">
        <v>90</v>
      </c>
      <c r="AD26" s="73" t="str">
        <f>IF(AE26&gt;0,INDEX($C$10:$AA$10,1,AE26),CHAR(151))</f>
        <v>—</v>
      </c>
      <c r="AE26" s="74">
        <f>IF(ISERROR(MATCH(FALSE,AF26:BD26,0)),0,MATCH(FALSE,AF26:BD26,0))</f>
        <v>0</v>
      </c>
      <c r="AF26" s="74" t="b">
        <f>IF(OR(C15&lt;&gt;"",C14&lt;&gt;""),C15&lt;=C14,TRUE)</f>
        <v>1</v>
      </c>
      <c r="AG26" s="74" t="b">
        <f t="shared" ref="AG26:BD26" si="5">IF(OR(D15&lt;&gt;"",D14&lt;&gt;""),D15&lt;=D14,TRUE)</f>
        <v>1</v>
      </c>
      <c r="AH26" s="74" t="b">
        <f t="shared" si="5"/>
        <v>1</v>
      </c>
      <c r="AI26" s="74" t="b">
        <f t="shared" si="5"/>
        <v>1</v>
      </c>
      <c r="AJ26" s="74" t="b">
        <f t="shared" si="5"/>
        <v>1</v>
      </c>
      <c r="AK26" s="75" t="b">
        <v>1</v>
      </c>
      <c r="AL26" s="74" t="b">
        <f t="shared" si="5"/>
        <v>1</v>
      </c>
      <c r="AM26" s="74" t="b">
        <f t="shared" si="5"/>
        <v>1</v>
      </c>
      <c r="AN26" s="74" t="b">
        <f t="shared" si="5"/>
        <v>1</v>
      </c>
      <c r="AO26" s="74" t="b">
        <f t="shared" si="5"/>
        <v>1</v>
      </c>
      <c r="AP26" s="75" t="b">
        <v>1</v>
      </c>
      <c r="AQ26" s="74" t="b">
        <f t="shared" si="5"/>
        <v>1</v>
      </c>
      <c r="AR26" s="74" t="b">
        <f t="shared" si="5"/>
        <v>1</v>
      </c>
      <c r="AS26" s="74" t="b">
        <f t="shared" si="5"/>
        <v>1</v>
      </c>
      <c r="AT26" s="74" t="b">
        <f t="shared" si="5"/>
        <v>1</v>
      </c>
      <c r="AU26" s="74" t="b">
        <f t="shared" si="5"/>
        <v>1</v>
      </c>
      <c r="AV26" s="74" t="b">
        <f t="shared" si="5"/>
        <v>1</v>
      </c>
      <c r="AW26" s="74" t="b">
        <f t="shared" si="5"/>
        <v>1</v>
      </c>
      <c r="AX26" s="74" t="b">
        <f t="shared" si="5"/>
        <v>1</v>
      </c>
      <c r="AY26" s="74" t="b">
        <f t="shared" si="5"/>
        <v>1</v>
      </c>
      <c r="AZ26" s="74" t="b">
        <f t="shared" si="5"/>
        <v>1</v>
      </c>
      <c r="BA26" s="74" t="b">
        <f t="shared" si="5"/>
        <v>1</v>
      </c>
      <c r="BB26" s="74" t="b">
        <f t="shared" si="5"/>
        <v>1</v>
      </c>
      <c r="BC26" s="74" t="b">
        <f t="shared" si="5"/>
        <v>1</v>
      </c>
      <c r="BD26" s="74" t="b">
        <f t="shared" si="5"/>
        <v>1</v>
      </c>
    </row>
    <row r="27" spans="1:62" s="37" customFormat="1" ht="45" x14ac:dyDescent="0.25">
      <c r="A27" s="40">
        <v>1</v>
      </c>
      <c r="B27" s="45" t="s">
        <v>91</v>
      </c>
      <c r="C27" s="51">
        <f t="shared" ref="C27:D31" si="6">E12</f>
        <v>1410</v>
      </c>
      <c r="D27" s="51">
        <f t="shared" si="6"/>
        <v>1410</v>
      </c>
      <c r="E27" s="52">
        <f t="shared" ref="E27:F29" si="7">H12</f>
        <v>1410</v>
      </c>
      <c r="F27" s="52">
        <f t="shared" si="7"/>
        <v>1410</v>
      </c>
      <c r="G27" s="51">
        <f t="shared" ref="G27:L31" si="8">K12</f>
        <v>17</v>
      </c>
      <c r="H27" s="51">
        <f t="shared" si="8"/>
        <v>1343</v>
      </c>
      <c r="I27" s="51">
        <f t="shared" si="8"/>
        <v>34</v>
      </c>
      <c r="J27" s="51">
        <f t="shared" si="8"/>
        <v>34</v>
      </c>
      <c r="K27" s="51">
        <f t="shared" si="8"/>
        <v>0</v>
      </c>
      <c r="L27" s="51">
        <f t="shared" si="8"/>
        <v>14</v>
      </c>
      <c r="M27" s="51">
        <f>R12</f>
        <v>2</v>
      </c>
      <c r="AB27" s="20" t="str">
        <f>IF(AE27&gt;0,"стр.5 &gt;= стр.1+стр.3 по графе "&amp;AD27,"ОК")</f>
        <v>ОК</v>
      </c>
      <c r="AC27" s="72" t="s">
        <v>92</v>
      </c>
      <c r="AD27" s="73" t="str">
        <f>IF(AE27&gt;0,INDEX($C$10:$AA$10,1,AE27),CHAR(151))</f>
        <v>—</v>
      </c>
      <c r="AE27" s="74">
        <f>IF(ISERROR(MATCH(FALSE,AF27:BD27,0)),0,MATCH(FALSE,AF27:BD27,0))</f>
        <v>0</v>
      </c>
      <c r="AF27" s="74" t="b">
        <f>IF(OR(C12&lt;&gt;"",C14&lt;&gt;"",C16&lt;&gt;""),C16&lt;SUM(C12,C14),TRUE)</f>
        <v>1</v>
      </c>
      <c r="AG27" s="74" t="b">
        <f t="shared" ref="AG27:BD27" si="9">IF(OR(D12&lt;&gt;"",D14&lt;&gt;"",D16&lt;&gt;""),D16&lt;SUM(D12,D14),TRUE)</f>
        <v>1</v>
      </c>
      <c r="AH27" s="74" t="b">
        <f t="shared" si="9"/>
        <v>1</v>
      </c>
      <c r="AI27" s="74" t="b">
        <f t="shared" si="9"/>
        <v>1</v>
      </c>
      <c r="AJ27" s="74" t="b">
        <f t="shared" si="9"/>
        <v>1</v>
      </c>
      <c r="AK27" s="75" t="b">
        <v>1</v>
      </c>
      <c r="AL27" s="74" t="b">
        <f t="shared" si="9"/>
        <v>1</v>
      </c>
      <c r="AM27" s="74" t="b">
        <f t="shared" si="9"/>
        <v>1</v>
      </c>
      <c r="AN27" s="74" t="b">
        <f t="shared" si="9"/>
        <v>1</v>
      </c>
      <c r="AO27" s="74" t="b">
        <f t="shared" si="9"/>
        <v>1</v>
      </c>
      <c r="AP27" s="75" t="b">
        <v>1</v>
      </c>
      <c r="AQ27" s="74" t="b">
        <f t="shared" si="9"/>
        <v>1</v>
      </c>
      <c r="AR27" s="74" t="b">
        <f t="shared" si="9"/>
        <v>1</v>
      </c>
      <c r="AS27" s="74" t="b">
        <f t="shared" si="9"/>
        <v>1</v>
      </c>
      <c r="AT27" s="74" t="b">
        <f t="shared" si="9"/>
        <v>1</v>
      </c>
      <c r="AU27" s="74" t="b">
        <f t="shared" si="9"/>
        <v>1</v>
      </c>
      <c r="AV27" s="74" t="b">
        <f t="shared" si="9"/>
        <v>1</v>
      </c>
      <c r="AW27" s="74" t="b">
        <f t="shared" si="9"/>
        <v>1</v>
      </c>
      <c r="AX27" s="74" t="b">
        <f t="shared" si="9"/>
        <v>1</v>
      </c>
      <c r="AY27" s="74" t="b">
        <f t="shared" si="9"/>
        <v>1</v>
      </c>
      <c r="AZ27" s="74" t="b">
        <f t="shared" si="9"/>
        <v>1</v>
      </c>
      <c r="BA27" s="74" t="b">
        <f t="shared" si="9"/>
        <v>1</v>
      </c>
      <c r="BB27" s="74" t="b">
        <f t="shared" si="9"/>
        <v>1</v>
      </c>
      <c r="BC27" s="74" t="b">
        <f t="shared" si="9"/>
        <v>1</v>
      </c>
      <c r="BD27" s="74" t="b">
        <f t="shared" si="9"/>
        <v>1</v>
      </c>
    </row>
    <row r="28" spans="1:62" s="37" customFormat="1" ht="38.1" customHeight="1" x14ac:dyDescent="0.25">
      <c r="A28" s="40">
        <v>2</v>
      </c>
      <c r="B28" s="45" t="s">
        <v>47</v>
      </c>
      <c r="C28" s="51">
        <f t="shared" si="6"/>
        <v>60</v>
      </c>
      <c r="D28" s="51">
        <f t="shared" si="6"/>
        <v>60</v>
      </c>
      <c r="E28" s="52">
        <f t="shared" si="7"/>
        <v>60</v>
      </c>
      <c r="F28" s="52">
        <f t="shared" si="7"/>
        <v>60</v>
      </c>
      <c r="G28" s="51">
        <f t="shared" si="8"/>
        <v>0</v>
      </c>
      <c r="H28" s="51">
        <f t="shared" si="8"/>
        <v>60</v>
      </c>
      <c r="I28" s="51">
        <f t="shared" si="8"/>
        <v>0</v>
      </c>
      <c r="J28" s="51">
        <f t="shared" si="8"/>
        <v>0</v>
      </c>
      <c r="K28" s="51">
        <f t="shared" si="8"/>
        <v>0</v>
      </c>
      <c r="L28" s="51">
        <f t="shared" si="8"/>
        <v>0</v>
      </c>
      <c r="M28" s="51">
        <f>R13</f>
        <v>0</v>
      </c>
      <c r="AB28" s="20" t="str">
        <f>IF(H17&lt;&gt;H11,"стр.17 Excel гр.5 ≠ стр.11 Excel гр.5","ОК")</f>
        <v>ОК</v>
      </c>
      <c r="AC28" s="135" t="s">
        <v>93</v>
      </c>
      <c r="AD28" s="135"/>
    </row>
    <row r="29" spans="1:62" s="37" customFormat="1" x14ac:dyDescent="0.25">
      <c r="A29" s="40">
        <v>3</v>
      </c>
      <c r="B29" s="45" t="s">
        <v>50</v>
      </c>
      <c r="C29" s="53">
        <f t="shared" si="6"/>
        <v>361</v>
      </c>
      <c r="D29" s="53">
        <f t="shared" si="6"/>
        <v>361</v>
      </c>
      <c r="E29" s="54">
        <f t="shared" si="7"/>
        <v>361</v>
      </c>
      <c r="F29" s="54">
        <f t="shared" si="7"/>
        <v>361</v>
      </c>
      <c r="G29" s="51">
        <f t="shared" si="8"/>
        <v>2</v>
      </c>
      <c r="H29" s="51">
        <f t="shared" si="8"/>
        <v>340</v>
      </c>
      <c r="I29" s="51">
        <f t="shared" si="8"/>
        <v>15</v>
      </c>
      <c r="J29" s="51">
        <f t="shared" si="8"/>
        <v>15</v>
      </c>
      <c r="K29" s="51">
        <f t="shared" si="8"/>
        <v>0</v>
      </c>
      <c r="L29" s="51">
        <f t="shared" si="8"/>
        <v>4</v>
      </c>
      <c r="M29" s="51">
        <f>R14</f>
        <v>0</v>
      </c>
    </row>
    <row r="30" spans="1:62" s="37" customFormat="1" ht="30" x14ac:dyDescent="0.25">
      <c r="A30" s="40">
        <v>4</v>
      </c>
      <c r="B30" s="45" t="s">
        <v>52</v>
      </c>
      <c r="C30" s="53">
        <f t="shared" si="6"/>
        <v>182</v>
      </c>
      <c r="D30" s="53">
        <f t="shared" si="6"/>
        <v>182</v>
      </c>
      <c r="E30" s="54">
        <f>H15</f>
        <v>182</v>
      </c>
      <c r="F30" s="54">
        <f>I15</f>
        <v>182</v>
      </c>
      <c r="G30" s="51">
        <f t="shared" si="8"/>
        <v>1</v>
      </c>
      <c r="H30" s="51">
        <f t="shared" si="8"/>
        <v>171</v>
      </c>
      <c r="I30" s="51">
        <f t="shared" si="8"/>
        <v>7</v>
      </c>
      <c r="J30" s="51">
        <f t="shared" si="8"/>
        <v>7</v>
      </c>
      <c r="K30" s="51">
        <f t="shared" si="8"/>
        <v>0</v>
      </c>
      <c r="L30" s="51">
        <f t="shared" si="8"/>
        <v>3</v>
      </c>
      <c r="M30" s="51">
        <f>R15</f>
        <v>0</v>
      </c>
    </row>
    <row r="31" spans="1:62" s="37" customFormat="1" x14ac:dyDescent="0.25">
      <c r="A31" s="40">
        <v>5</v>
      </c>
      <c r="B31" s="45" t="s">
        <v>94</v>
      </c>
      <c r="C31" s="51">
        <f t="shared" si="6"/>
        <v>1473</v>
      </c>
      <c r="D31" s="51">
        <f t="shared" si="6"/>
        <v>1473</v>
      </c>
      <c r="E31" s="52">
        <f>H16</f>
        <v>1473</v>
      </c>
      <c r="F31" s="52">
        <f>I16</f>
        <v>1473</v>
      </c>
      <c r="G31" s="51">
        <f t="shared" si="8"/>
        <v>11</v>
      </c>
      <c r="H31" s="51">
        <f t="shared" si="8"/>
        <v>1397</v>
      </c>
      <c r="I31" s="51">
        <f t="shared" si="8"/>
        <v>48</v>
      </c>
      <c r="J31" s="51">
        <f t="shared" si="8"/>
        <v>48</v>
      </c>
      <c r="K31" s="51">
        <f t="shared" si="8"/>
        <v>0</v>
      </c>
      <c r="L31" s="51">
        <f t="shared" si="8"/>
        <v>17</v>
      </c>
      <c r="M31" s="51">
        <f>R16</f>
        <v>0</v>
      </c>
    </row>
  </sheetData>
  <sheetProtection password="DB70" sheet="1" objects="1" scenarios="1" autoFilter="0"/>
  <mergeCells count="41">
    <mergeCell ref="R8:R9"/>
    <mergeCell ref="S8:S9"/>
    <mergeCell ref="Y8:Y9"/>
    <mergeCell ref="V8:W8"/>
    <mergeCell ref="J8:J9"/>
    <mergeCell ref="K8:K9"/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T8:T9"/>
    <mergeCell ref="H8:H9"/>
    <mergeCell ref="U8:U9"/>
    <mergeCell ref="X8:X9"/>
    <mergeCell ref="C21:D21"/>
    <mergeCell ref="E21:G21"/>
    <mergeCell ref="E2:L2"/>
    <mergeCell ref="C5:N5"/>
    <mergeCell ref="H6:J6"/>
    <mergeCell ref="E3:F3"/>
    <mergeCell ref="X7:Y7"/>
    <mergeCell ref="T7:W7"/>
    <mergeCell ref="C22:D22"/>
    <mergeCell ref="E22:G22"/>
    <mergeCell ref="C23:D23"/>
    <mergeCell ref="E23:G23"/>
    <mergeCell ref="B7:B9"/>
    <mergeCell ref="F8:F9"/>
    <mergeCell ref="I8:I9"/>
    <mergeCell ref="N8:O8"/>
    <mergeCell ref="C7:G7"/>
    <mergeCell ref="H7:J7"/>
    <mergeCell ref="C8:C9"/>
    <mergeCell ref="E8:E9"/>
    <mergeCell ref="G8:G9"/>
  </mergeCells>
  <conditionalFormatting sqref="AB11">
    <cfRule type="expression" dxfId="64" priority="19" stopIfTrue="1">
      <formula>AB11&lt;&gt;"ОК"</formula>
    </cfRule>
  </conditionalFormatting>
  <conditionalFormatting sqref="AB12">
    <cfRule type="expression" dxfId="63" priority="18" stopIfTrue="1">
      <formula>AB12&lt;&gt;"ОК"</formula>
    </cfRule>
  </conditionalFormatting>
  <conditionalFormatting sqref="AB13">
    <cfRule type="expression" dxfId="62" priority="17" stopIfTrue="1">
      <formula>AB13&lt;&gt;"ОК"</formula>
    </cfRule>
  </conditionalFormatting>
  <conditionalFormatting sqref="AB14">
    <cfRule type="expression" dxfId="61" priority="16" stopIfTrue="1">
      <formula>AB14&lt;&gt;"ОК"</formula>
    </cfRule>
  </conditionalFormatting>
  <conditionalFormatting sqref="AB15">
    <cfRule type="expression" dxfId="60" priority="15" stopIfTrue="1">
      <formula>AB15&lt;&gt;"ОК"</formula>
    </cfRule>
  </conditionalFormatting>
  <conditionalFormatting sqref="AB16">
    <cfRule type="expression" dxfId="59" priority="14" stopIfTrue="1">
      <formula>AB16&lt;&gt;"ОК"</formula>
    </cfRule>
  </conditionalFormatting>
  <conditionalFormatting sqref="AB17">
    <cfRule type="expression" dxfId="58" priority="13" stopIfTrue="1">
      <formula>AB17&lt;&gt;"ОК"</formula>
    </cfRule>
  </conditionalFormatting>
  <conditionalFormatting sqref="AB18">
    <cfRule type="expression" dxfId="57" priority="12" stopIfTrue="1">
      <formula>AB18&lt;&gt;"ОК"</formula>
    </cfRule>
  </conditionalFormatting>
  <conditionalFormatting sqref="AB19">
    <cfRule type="expression" dxfId="56" priority="11" stopIfTrue="1">
      <formula>AB19&lt;&gt;"ОК"</formula>
    </cfRule>
  </conditionalFormatting>
  <conditionalFormatting sqref="AB20">
    <cfRule type="expression" dxfId="55" priority="10" stopIfTrue="1">
      <formula>AB20&lt;&gt;"ОК"</formula>
    </cfRule>
  </conditionalFormatting>
  <conditionalFormatting sqref="AB21">
    <cfRule type="expression" dxfId="54" priority="9" stopIfTrue="1">
      <formula>AB21&lt;&gt;"ОК"</formula>
    </cfRule>
  </conditionalFormatting>
  <conditionalFormatting sqref="AB22">
    <cfRule type="expression" dxfId="53" priority="8" stopIfTrue="1">
      <formula>AB22&lt;&gt;"ОК"</formula>
    </cfRule>
  </conditionalFormatting>
  <conditionalFormatting sqref="AB23">
    <cfRule type="expression" dxfId="52" priority="7" stopIfTrue="1">
      <formula>AB23&lt;&gt;"ОК"</formula>
    </cfRule>
  </conditionalFormatting>
  <conditionalFormatting sqref="AB24">
    <cfRule type="expression" dxfId="51" priority="6" stopIfTrue="1">
      <formula>AB24&lt;&gt;"ОК"</formula>
    </cfRule>
  </conditionalFormatting>
  <conditionalFormatting sqref="AB25">
    <cfRule type="expression" dxfId="50" priority="5" stopIfTrue="1">
      <formula>AB25&lt;&gt;"ОК"</formula>
    </cfRule>
  </conditionalFormatting>
  <conditionalFormatting sqref="AB26">
    <cfRule type="expression" dxfId="49" priority="4" stopIfTrue="1">
      <formula>AB26&lt;&gt;"ОК"</formula>
    </cfRule>
  </conditionalFormatting>
  <conditionalFormatting sqref="AB27">
    <cfRule type="expression" dxfId="48" priority="3" stopIfTrue="1">
      <formula>AB27&lt;&gt;"ОК"</formula>
    </cfRule>
  </conditionalFormatting>
  <conditionalFormatting sqref="AB28">
    <cfRule type="expression" dxfId="47" priority="2" stopIfTrue="1">
      <formula>AB28&lt;&gt;"ОК"</formula>
    </cfRule>
  </conditionalFormatting>
  <conditionalFormatting sqref="B4">
    <cfRule type="expression" dxfId="46" priority="1">
      <formula>ISERROR($A$1)</formula>
    </cfRule>
  </conditionalFormatting>
  <dataValidations count="6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 J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T14:W16 N12:W12 X12:AA16 C12:G16 I12:L16 N13:S16">
      <formula1>AND($G$3&lt;&gt;0,$H$3&lt;&gt;0,$I$3&lt;&gt;0,$C$5&lt;&gt;0,$E$21&lt;&gt;0,$E$22&lt;&gt;0,$E$23&lt;&gt;0,ISNUMBER(C12),IF(ISERROR(SEARCH(",?",C12)),0,1)=0)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C11:AA11 H12:H16 M12:M16">
      <formula1>AND($H$3&lt;&gt;0,$I$3&lt;&gt;0,$C$5&lt;&gt;0,$E$21&lt;&gt;0,$E$22&lt;&gt;0,$E$23&lt;&gt;0,ISNUMBER(C11),IF(ISERROR(SEARCH(",?",C11)),0,1)=0)</formula1>
    </dataValidation>
  </dataValidations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00FF"/>
    <pageSetUpPr fitToPage="1"/>
  </sheetPr>
  <dimension ref="A1:Q33"/>
  <sheetViews>
    <sheetView zoomScale="55" zoomScaleNormal="55" workbookViewId="0">
      <selection activeCell="G21" sqref="G21"/>
    </sheetView>
  </sheetViews>
  <sheetFormatPr defaultColWidth="9.140625" defaultRowHeight="18.75" x14ac:dyDescent="0.3"/>
  <cols>
    <col min="1" max="1" width="18.7109375" style="9" customWidth="1"/>
    <col min="2" max="2" width="17.140625" style="9" customWidth="1"/>
    <col min="3" max="5" width="16.42578125" style="9" customWidth="1"/>
    <col min="6" max="6" width="25.85546875" style="9" customWidth="1"/>
    <col min="7" max="8" width="26.85546875" style="9" customWidth="1"/>
    <col min="9" max="12" width="22" style="9" customWidth="1"/>
    <col min="13" max="13" width="41.28515625" style="9" customWidth="1"/>
    <col min="14" max="14" width="18.42578125" style="9" hidden="1" customWidth="1"/>
    <col min="15" max="16" width="9.140625" style="9" hidden="1" customWidth="1"/>
    <col min="17" max="17" width="10.5703125" style="9" hidden="1" customWidth="1"/>
    <col min="18" max="23" width="9.140625" customWidth="1"/>
  </cols>
  <sheetData>
    <row r="1" spans="1:17" x14ac:dyDescent="0.3">
      <c r="I1" s="26" t="s">
        <v>95</v>
      </c>
      <c r="J1" s="26"/>
      <c r="K1" s="26"/>
      <c r="L1" s="26"/>
      <c r="M1" s="10"/>
      <c r="N1" s="10"/>
    </row>
    <row r="2" spans="1:17" x14ac:dyDescent="0.3">
      <c r="I2" s="26" t="s">
        <v>96</v>
      </c>
      <c r="J2" s="26"/>
      <c r="K2" s="26"/>
      <c r="L2" s="26"/>
      <c r="M2" s="10"/>
      <c r="N2" s="24"/>
    </row>
    <row r="3" spans="1:17" x14ac:dyDescent="0.3">
      <c r="I3" s="27" t="s">
        <v>97</v>
      </c>
      <c r="J3" s="27"/>
      <c r="K3" s="27"/>
      <c r="L3" s="27"/>
      <c r="M3" s="10"/>
      <c r="N3" s="10"/>
    </row>
    <row r="4" spans="1:17" x14ac:dyDescent="0.3">
      <c r="I4" s="113" t="s">
        <v>98</v>
      </c>
      <c r="J4" s="113"/>
      <c r="K4" s="113"/>
      <c r="L4" s="113"/>
      <c r="M4" s="25"/>
      <c r="N4" s="25"/>
    </row>
    <row r="5" spans="1:17" ht="15" x14ac:dyDescent="0.25">
      <c r="A5" s="7" t="str">
        <f>IF(F5=TRUE,DATEVALUE(F7&amp;"."&amp;VLOOKUP(G7,Help!$H$1:$I$12,2,0)&amp;"."&amp;H7),"22.07.1966")</f>
        <v>22.07.1966</v>
      </c>
      <c r="B5" s="7"/>
      <c r="C5" s="8" t="e">
        <f>F7&amp;"."&amp;VLOOKUP(G7,Help!$H$1:$I$12,2,0)&amp;"."&amp;H7</f>
        <v>#N/A</v>
      </c>
      <c r="D5" s="8"/>
      <c r="E5" s="8"/>
      <c r="F5" s="19" t="b">
        <f>AND(F7&lt;&gt;"",G7&lt;&gt;"",H7&lt;&gt;"")</f>
        <v>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36.75" customHeight="1" x14ac:dyDescent="0.3">
      <c r="A6" s="153" t="s">
        <v>99</v>
      </c>
      <c r="B6" s="154"/>
      <c r="C6" s="154"/>
      <c r="D6" s="154"/>
      <c r="E6" s="154"/>
      <c r="F6" s="154"/>
      <c r="G6" s="154"/>
      <c r="H6" s="154"/>
      <c r="I6" s="154"/>
      <c r="J6" s="101"/>
      <c r="K6" s="101"/>
      <c r="L6" s="101"/>
      <c r="M6" s="11"/>
    </row>
    <row r="7" spans="1:17" x14ac:dyDescent="0.3">
      <c r="A7" s="6"/>
      <c r="B7" s="1"/>
      <c r="C7" s="1"/>
      <c r="D7" s="5"/>
      <c r="E7" s="133" t="s">
        <v>1</v>
      </c>
      <c r="F7" s="134"/>
      <c r="G7" s="90">
        <f>IF(профосмотры!G3&lt;&gt;"",профосмотры!G3,"")</f>
        <v>28</v>
      </c>
      <c r="H7" s="90" t="str">
        <f>IF(профосмотры!H3&lt;&gt;"",профосмотры!H3,"")</f>
        <v>декабря</v>
      </c>
      <c r="I7" s="90">
        <f>IF(профосмотры!I3&lt;&gt;"",профосмотры!I3,"")</f>
        <v>2021</v>
      </c>
      <c r="J7" s="98"/>
      <c r="K7" s="5"/>
      <c r="L7" s="2"/>
      <c r="M7" s="1"/>
      <c r="N7" s="4"/>
      <c r="O7" s="4"/>
      <c r="P7" s="4"/>
      <c r="Q7" s="4"/>
    </row>
    <row r="8" spans="1:17" ht="24" thickBot="1" x14ac:dyDescent="0.4">
      <c r="A8" s="80"/>
      <c r="B8" s="79"/>
      <c r="C8" s="79"/>
      <c r="D8" s="79"/>
      <c r="E8" s="79"/>
      <c r="F8" s="79"/>
      <c r="G8" s="82" t="s">
        <v>2</v>
      </c>
      <c r="H8" s="82" t="s">
        <v>3</v>
      </c>
      <c r="I8" s="82" t="s">
        <v>4</v>
      </c>
      <c r="J8" s="79"/>
      <c r="K8" s="79"/>
      <c r="L8" s="79"/>
      <c r="M8" s="79"/>
      <c r="N8" s="81"/>
      <c r="O8" s="81"/>
      <c r="P8" s="81"/>
      <c r="Q8" s="81"/>
    </row>
    <row r="9" spans="1:17" ht="24" customHeight="1" thickBot="1" x14ac:dyDescent="0.35">
      <c r="A9" s="173" t="str">
        <f>IF(профосмотры!C5&lt;&gt;"",профосмотры!C5,"")</f>
        <v>ГБУЗ «Нехаевская ЦРБ»</v>
      </c>
      <c r="B9" s="174"/>
      <c r="C9" s="174"/>
      <c r="D9" s="174"/>
      <c r="E9" s="174"/>
      <c r="F9" s="174"/>
      <c r="G9" s="174"/>
      <c r="H9" s="174"/>
      <c r="I9" s="175"/>
      <c r="J9" s="12"/>
      <c r="K9" s="12"/>
      <c r="L9" s="12"/>
      <c r="M9" s="11"/>
    </row>
    <row r="10" spans="1:17" ht="27" customHeight="1" x14ac:dyDescent="0.25">
      <c r="A10" s="172" t="s">
        <v>100</v>
      </c>
      <c r="B10" s="172"/>
      <c r="C10" s="172"/>
      <c r="D10" s="172"/>
      <c r="E10" s="172"/>
      <c r="F10" s="172"/>
      <c r="G10" s="172"/>
      <c r="H10" s="172"/>
      <c r="I10" s="172"/>
      <c r="J10" s="29"/>
      <c r="K10" s="29"/>
      <c r="L10" s="29"/>
      <c r="M10" s="12"/>
      <c r="N10" s="12"/>
      <c r="O10" s="12"/>
      <c r="P10" s="12"/>
      <c r="Q10" s="12"/>
    </row>
    <row r="11" spans="1:17" ht="18.75" customHeight="1" x14ac:dyDescent="0.3">
      <c r="A11" s="168" t="s">
        <v>101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30"/>
      <c r="M11" s="12"/>
    </row>
    <row r="12" spans="1:17" ht="66" customHeight="1" x14ac:dyDescent="0.3">
      <c r="A12" s="155" t="s">
        <v>102</v>
      </c>
      <c r="B12" s="155" t="s">
        <v>103</v>
      </c>
      <c r="C12" s="155" t="s">
        <v>104</v>
      </c>
      <c r="D12" s="155"/>
      <c r="E12" s="155"/>
      <c r="F12" s="155"/>
      <c r="G12" s="155"/>
      <c r="H12" s="155" t="s">
        <v>105</v>
      </c>
      <c r="I12" s="155" t="s">
        <v>106</v>
      </c>
      <c r="J12" s="155" t="s">
        <v>107</v>
      </c>
      <c r="K12" s="155" t="s">
        <v>108</v>
      </c>
      <c r="L12" s="155" t="s">
        <v>109</v>
      </c>
      <c r="M12" s="176" t="s">
        <v>15</v>
      </c>
      <c r="N12" s="31"/>
      <c r="O12" s="12"/>
      <c r="P12" s="12"/>
    </row>
    <row r="13" spans="1:17" ht="62.25" customHeight="1" x14ac:dyDescent="0.3">
      <c r="A13" s="155"/>
      <c r="B13" s="155"/>
      <c r="C13" s="60" t="s">
        <v>110</v>
      </c>
      <c r="D13" s="102" t="s">
        <v>103</v>
      </c>
      <c r="E13" s="102" t="s">
        <v>111</v>
      </c>
      <c r="F13" s="102" t="s">
        <v>112</v>
      </c>
      <c r="G13" s="102" t="s">
        <v>113</v>
      </c>
      <c r="H13" s="155"/>
      <c r="I13" s="155"/>
      <c r="J13" s="155"/>
      <c r="K13" s="155"/>
      <c r="L13" s="155"/>
      <c r="M13" s="176"/>
      <c r="N13" s="31"/>
      <c r="O13" s="12"/>
      <c r="P13" s="12"/>
    </row>
    <row r="14" spans="1:17" ht="12.75" customHeight="1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61" t="s">
        <v>38</v>
      </c>
      <c r="G14" s="23">
        <v>6</v>
      </c>
      <c r="H14" s="23">
        <v>7</v>
      </c>
      <c r="I14" s="61" t="s">
        <v>114</v>
      </c>
      <c r="J14" s="61" t="s">
        <v>115</v>
      </c>
      <c r="K14" s="61" t="s">
        <v>116</v>
      </c>
      <c r="L14" s="23">
        <v>8</v>
      </c>
      <c r="M14" s="176"/>
      <c r="N14" s="32"/>
      <c r="O14" s="12"/>
      <c r="P14" s="12"/>
      <c r="Q14" s="10"/>
    </row>
    <row r="15" spans="1:17" ht="24.75" customHeight="1" x14ac:dyDescent="0.3">
      <c r="A15" s="62">
        <f>профосмотры!E15</f>
        <v>182</v>
      </c>
      <c r="B15" s="62">
        <f>профосмотры!F15</f>
        <v>182</v>
      </c>
      <c r="C15" s="62">
        <f>профосмотры!H15</f>
        <v>182</v>
      </c>
      <c r="D15" s="63">
        <f>профосмотры!I15</f>
        <v>182</v>
      </c>
      <c r="E15" s="59">
        <v>1820</v>
      </c>
      <c r="F15" s="59">
        <v>1820</v>
      </c>
      <c r="G15" s="63">
        <f>C15</f>
        <v>182</v>
      </c>
      <c r="H15" s="59"/>
      <c r="I15" s="59"/>
      <c r="J15" s="59"/>
      <c r="K15" s="59"/>
      <c r="L15" s="59"/>
      <c r="M15" s="20" t="str">
        <f>IF(P15&gt;0,"гр.2 &gt; гр.1 по строке «"&amp;O15&amp;"»","ОК")</f>
        <v>ОК</v>
      </c>
      <c r="N15" s="76" t="s">
        <v>117</v>
      </c>
      <c r="O15" s="21" t="str">
        <f>IF(P15&gt;0,1,CHAR(151))</f>
        <v>—</v>
      </c>
      <c r="P15" s="22">
        <f>IF(ISERROR(MATCH(FALSE,Q15,0)),0,MATCH(FALSE,Q15,0))</f>
        <v>0</v>
      </c>
      <c r="Q15" s="22" t="b">
        <f>$B15&lt;=$A15</f>
        <v>1</v>
      </c>
    </row>
    <row r="16" spans="1:17" ht="18.75" customHeight="1" x14ac:dyDescent="0.3">
      <c r="M16" s="20" t="str">
        <f>IF(P16&gt;0,"гр.4 &gt; гр.3 по строке «"&amp;O16&amp;"»","ОК")</f>
        <v>ОК</v>
      </c>
      <c r="N16" s="76" t="s">
        <v>118</v>
      </c>
      <c r="O16" s="21" t="str">
        <f>IF(P16&gt;0,1,CHAR(151))</f>
        <v>—</v>
      </c>
      <c r="P16" s="22">
        <f>IF(ISERROR(MATCH(FALSE,Q16,0)),0,MATCH(FALSE,Q16,0))</f>
        <v>0</v>
      </c>
      <c r="Q16" s="22" t="b">
        <f>D15&lt;=C15</f>
        <v>1</v>
      </c>
    </row>
    <row r="17" spans="1:17" ht="18.75" customHeight="1" x14ac:dyDescent="0.3">
      <c r="A17" s="170" t="s">
        <v>119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33"/>
      <c r="M17" s="20" t="str">
        <f>IF(P17&gt;0,"гр.5.1 &gt; гр.5 по строке «"&amp;O17&amp;"»","ОК")</f>
        <v>ОК</v>
      </c>
      <c r="N17" s="76" t="s">
        <v>120</v>
      </c>
      <c r="O17" s="21" t="str">
        <f>IF(P17&gt;0,1,CHAR(151))</f>
        <v>—</v>
      </c>
      <c r="P17" s="22">
        <f>IF(ISERROR(MATCH(FALSE,Q17,0)),0,MATCH(FALSE,Q17,0))</f>
        <v>0</v>
      </c>
      <c r="Q17" s="22" t="b">
        <f>F15&lt;=E15</f>
        <v>1</v>
      </c>
    </row>
    <row r="18" spans="1:17" ht="39" customHeight="1" x14ac:dyDescent="0.25">
      <c r="A18" s="155" t="s">
        <v>102</v>
      </c>
      <c r="B18" s="155" t="s">
        <v>103</v>
      </c>
      <c r="C18" s="155" t="s">
        <v>104</v>
      </c>
      <c r="D18" s="155"/>
      <c r="E18" s="155"/>
      <c r="F18" s="155"/>
      <c r="G18" s="155"/>
      <c r="H18" s="155" t="s">
        <v>121</v>
      </c>
      <c r="I18" s="155" t="s">
        <v>122</v>
      </c>
      <c r="J18" s="155" t="s">
        <v>123</v>
      </c>
      <c r="K18" s="155" t="s">
        <v>124</v>
      </c>
      <c r="L18" s="155" t="s">
        <v>125</v>
      </c>
      <c r="M18" s="20" t="str">
        <f>IF(P18&gt;0,"гр.6 &gt; гр.3 по строке «"&amp;O18&amp;"»","ОК")</f>
        <v>ОК</v>
      </c>
      <c r="N18" s="76" t="s">
        <v>126</v>
      </c>
      <c r="O18" s="21" t="str">
        <f>IF(P18&gt;0,1,CHAR(151))</f>
        <v>—</v>
      </c>
      <c r="P18" s="22">
        <f>IF(ISERROR(MATCH(FALSE,Q18,0)),0,MATCH(FALSE,Q18,0))</f>
        <v>0</v>
      </c>
      <c r="Q18" s="22" t="b">
        <f>G15&lt;=C15</f>
        <v>1</v>
      </c>
    </row>
    <row r="19" spans="1:17" ht="66" x14ac:dyDescent="0.25">
      <c r="A19" s="155"/>
      <c r="B19" s="155"/>
      <c r="C19" s="60" t="s">
        <v>110</v>
      </c>
      <c r="D19" s="102" t="s">
        <v>103</v>
      </c>
      <c r="E19" s="102" t="s">
        <v>111</v>
      </c>
      <c r="F19" s="102" t="s">
        <v>127</v>
      </c>
      <c r="G19" s="102" t="s">
        <v>128</v>
      </c>
      <c r="H19" s="155"/>
      <c r="I19" s="155"/>
      <c r="J19" s="155"/>
      <c r="K19" s="155"/>
      <c r="L19" s="155"/>
      <c r="M19" s="20" t="str">
        <f>IF(P19&gt;0,"гр.7 &gt; гр.6 по строке «"&amp;O19&amp;"»","ОК")</f>
        <v>ОК</v>
      </c>
      <c r="N19" s="76" t="s">
        <v>129</v>
      </c>
      <c r="O19" s="21" t="str">
        <f>IF(P19&gt;0,1,CHAR(151))</f>
        <v>—</v>
      </c>
      <c r="P19" s="22">
        <f>IF(ISERROR(MATCH(FALSE,Q19,0)),0,MATCH(FALSE,Q19,0))</f>
        <v>0</v>
      </c>
      <c r="Q19" s="22" t="b">
        <f>H15&lt;=G15</f>
        <v>1</v>
      </c>
    </row>
    <row r="20" spans="1:17" ht="12.75" customHeight="1" x14ac:dyDescent="0.3">
      <c r="A20" s="23">
        <v>9</v>
      </c>
      <c r="B20" s="23">
        <v>10</v>
      </c>
      <c r="C20" s="23">
        <v>11</v>
      </c>
      <c r="D20" s="61" t="s">
        <v>42</v>
      </c>
      <c r="E20" s="23">
        <v>12</v>
      </c>
      <c r="F20" s="61" t="s">
        <v>130</v>
      </c>
      <c r="G20" s="61" t="s">
        <v>89</v>
      </c>
      <c r="H20" s="23">
        <v>14</v>
      </c>
      <c r="I20" s="61" t="s">
        <v>131</v>
      </c>
      <c r="J20" s="61" t="s">
        <v>132</v>
      </c>
      <c r="K20" s="61" t="s">
        <v>133</v>
      </c>
      <c r="L20" s="23">
        <v>15</v>
      </c>
      <c r="M20" s="12"/>
      <c r="O20" s="12"/>
      <c r="P20" s="12"/>
      <c r="Q20" s="12"/>
    </row>
    <row r="21" spans="1:17" ht="25.5" customHeight="1" x14ac:dyDescent="0.3">
      <c r="A21" s="62">
        <f>профосмотры!E14-профосмотры!E15</f>
        <v>179</v>
      </c>
      <c r="B21" s="62">
        <f>профосмотры!F14-профосмотры!F15</f>
        <v>179</v>
      </c>
      <c r="C21" s="62">
        <f>профосмотры!H14-профосмотры!H15</f>
        <v>179</v>
      </c>
      <c r="D21" s="62">
        <f>профосмотры!I14-профосмотры!I15</f>
        <v>179</v>
      </c>
      <c r="E21" s="59">
        <v>1790</v>
      </c>
      <c r="F21" s="59">
        <v>1790</v>
      </c>
      <c r="G21" s="62">
        <f>C21</f>
        <v>179</v>
      </c>
      <c r="H21" s="59"/>
      <c r="I21" s="59"/>
      <c r="J21" s="59"/>
      <c r="K21" s="59"/>
      <c r="L21" s="59"/>
      <c r="M21" s="20" t="str">
        <f>IF(P21&gt;0,"гр.7.1 &gt; гр.7 по строке «"&amp;O21&amp;"»","ОК")</f>
        <v>ОК</v>
      </c>
      <c r="N21" s="76" t="s">
        <v>134</v>
      </c>
      <c r="O21" s="21" t="str">
        <f>IF(P21&gt;0,1,CHAR(151))</f>
        <v>—</v>
      </c>
      <c r="P21" s="22">
        <f t="shared" ref="P21:P33" si="0">IF(ISERROR(MATCH(FALSE,Q21,0)),0,MATCH(FALSE,Q21,0))</f>
        <v>0</v>
      </c>
      <c r="Q21" s="22" t="b">
        <f>I15&lt;=H15</f>
        <v>1</v>
      </c>
    </row>
    <row r="22" spans="1:17" ht="25.5" customHeight="1" x14ac:dyDescent="0.3">
      <c r="A22" s="177" t="s">
        <v>135</v>
      </c>
      <c r="B22" s="177"/>
      <c r="C22" s="177"/>
      <c r="D22" s="177"/>
      <c r="E22" s="13"/>
      <c r="F22" s="13"/>
      <c r="G22" s="13"/>
      <c r="H22" s="13"/>
      <c r="I22" s="13"/>
      <c r="J22" s="13"/>
      <c r="K22" s="13"/>
      <c r="L22" s="13"/>
      <c r="M22" s="20" t="str">
        <f>IF(P22&gt;0,"гр.7.2 &gt; гр.7 по строке «"&amp;O22&amp;"»","ОК")</f>
        <v>ОК</v>
      </c>
      <c r="N22" s="76" t="s">
        <v>136</v>
      </c>
      <c r="O22" s="21" t="str">
        <f>IF(P22&gt;0,1,CHAR(151))</f>
        <v>—</v>
      </c>
      <c r="P22" s="22">
        <f t="shared" si="0"/>
        <v>0</v>
      </c>
      <c r="Q22" s="22" t="b">
        <f>J$15&lt;=H$15</f>
        <v>1</v>
      </c>
    </row>
    <row r="23" spans="1:17" ht="25.5" customHeight="1" thickBo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0" t="str">
        <f>IF(P23&gt;0,"гр.7.3 &gt; гр.7.2 по строке «"&amp;O23&amp;"»","ОК")</f>
        <v>ОК</v>
      </c>
      <c r="N23" s="76" t="s">
        <v>137</v>
      </c>
      <c r="O23" s="21" t="str">
        <f>IF(P23&gt;0,1,CHAR(151))</f>
        <v>—</v>
      </c>
      <c r="P23" s="22">
        <f t="shared" si="0"/>
        <v>0</v>
      </c>
      <c r="Q23" s="22" t="b">
        <f>K15&lt;=J15</f>
        <v>1</v>
      </c>
    </row>
    <row r="24" spans="1:17" ht="25.5" customHeight="1" x14ac:dyDescent="0.3">
      <c r="A24" s="162" t="s">
        <v>61</v>
      </c>
      <c r="B24" s="163"/>
      <c r="C24" s="163"/>
      <c r="D24" s="104"/>
      <c r="E24" s="104"/>
      <c r="F24" s="164" t="str">
        <f>IF(профосмотры!E21&lt;&gt;"",профосмотры!E21,"")</f>
        <v>Тридубова Надежда Александровна</v>
      </c>
      <c r="G24" s="165"/>
      <c r="H24" s="166"/>
      <c r="I24" s="167"/>
      <c r="M24" s="20" t="str">
        <f>IF(P24&gt;0,"гр.8 &gt; гр.3 по строке «"&amp;O24&amp;"»","ОК")</f>
        <v>ОК</v>
      </c>
      <c r="N24" s="76" t="s">
        <v>138</v>
      </c>
      <c r="O24" s="21" t="str">
        <f>IF(P24&gt;0,1,CHAR(151))</f>
        <v>—</v>
      </c>
      <c r="P24" s="22">
        <f t="shared" si="0"/>
        <v>0</v>
      </c>
      <c r="Q24" s="22" t="b">
        <f>L15&lt;=C15</f>
        <v>1</v>
      </c>
    </row>
    <row r="25" spans="1:17" ht="25.5" customHeight="1" x14ac:dyDescent="0.3">
      <c r="A25" s="156" t="s">
        <v>63</v>
      </c>
      <c r="B25" s="157"/>
      <c r="C25" s="157"/>
      <c r="D25" s="103"/>
      <c r="E25" s="103"/>
      <c r="F25" s="158" t="str">
        <f>IF(профосмотры!E22&lt;&gt;"",профосмотры!E22,"")</f>
        <v>Беспалов Владислав Владимирович</v>
      </c>
      <c r="G25" s="159"/>
      <c r="H25" s="160"/>
      <c r="I25" s="161"/>
      <c r="M25" s="20" t="str">
        <f>IF(P25&gt;0,"гр.10 &gt; гр.9 по строке «"&amp;O25&amp;"»","ОК")</f>
        <v>ОК</v>
      </c>
      <c r="N25" s="76" t="s">
        <v>139</v>
      </c>
      <c r="O25" s="21" t="str">
        <f t="shared" ref="O25:O33" si="1">IF(P25&gt;0,2,CHAR(151))</f>
        <v>—</v>
      </c>
      <c r="P25" s="22">
        <f t="shared" si="0"/>
        <v>0</v>
      </c>
      <c r="Q25" s="22" t="b">
        <f>B21&lt;=A21</f>
        <v>1</v>
      </c>
    </row>
    <row r="26" spans="1:17" ht="25.5" customHeight="1" thickBot="1" x14ac:dyDescent="0.35">
      <c r="A26" s="147" t="s">
        <v>65</v>
      </c>
      <c r="B26" s="148"/>
      <c r="C26" s="148"/>
      <c r="D26" s="100"/>
      <c r="E26" s="100"/>
      <c r="F26" s="149">
        <f>IF(профосмотры!E23&lt;&gt;"",профосмотры!E23,"")</f>
        <v>89047542538</v>
      </c>
      <c r="G26" s="150"/>
      <c r="H26" s="151"/>
      <c r="I26" s="152"/>
      <c r="M26" s="20" t="str">
        <f>IF(P26&gt;0,"гр.11.1 &gt; гр.11 по строке «"&amp;O26&amp;"»","ОК")</f>
        <v>ОК</v>
      </c>
      <c r="N26" s="76" t="s">
        <v>140</v>
      </c>
      <c r="O26" s="21" t="str">
        <f t="shared" si="1"/>
        <v>—</v>
      </c>
      <c r="P26" s="22">
        <f t="shared" si="0"/>
        <v>0</v>
      </c>
      <c r="Q26" s="22" t="b">
        <f>D21&lt;=C21</f>
        <v>1</v>
      </c>
    </row>
    <row r="27" spans="1:17" ht="25.5" customHeight="1" x14ac:dyDescent="0.3">
      <c r="M27" s="20" t="str">
        <f>IF(P27&gt;0,"гр.12.1 &gt; гр.12 по строке «"&amp;O27&amp;"»","ОК")</f>
        <v>ОК</v>
      </c>
      <c r="N27" s="76" t="s">
        <v>141</v>
      </c>
      <c r="O27" s="21" t="str">
        <f t="shared" si="1"/>
        <v>—</v>
      </c>
      <c r="P27" s="22">
        <f t="shared" si="0"/>
        <v>0</v>
      </c>
      <c r="Q27" s="22" t="b">
        <f>F21&lt;=E21</f>
        <v>1</v>
      </c>
    </row>
    <row r="28" spans="1:17" ht="25.5" customHeight="1" x14ac:dyDescent="0.3">
      <c r="K28" s="39"/>
      <c r="M28" s="20" t="str">
        <f>IF(P28&gt;0,"гр.13 &gt; гр.11 по строке «"&amp;O28&amp;"»","ОК")</f>
        <v>ОК</v>
      </c>
      <c r="N28" s="76" t="s">
        <v>142</v>
      </c>
      <c r="O28" s="21" t="str">
        <f t="shared" si="1"/>
        <v>—</v>
      </c>
      <c r="P28" s="22">
        <f t="shared" si="0"/>
        <v>0</v>
      </c>
      <c r="Q28" s="22" t="b">
        <f>G21&lt;=C21</f>
        <v>1</v>
      </c>
    </row>
    <row r="29" spans="1:17" ht="30.75" x14ac:dyDescent="0.3">
      <c r="A29" s="34" t="s">
        <v>143</v>
      </c>
      <c r="B29" s="34" t="s">
        <v>69</v>
      </c>
      <c r="C29" s="34" t="s">
        <v>144</v>
      </c>
      <c r="D29" s="34" t="s">
        <v>71</v>
      </c>
      <c r="E29" s="34" t="s">
        <v>144</v>
      </c>
      <c r="F29" s="34" t="s">
        <v>145</v>
      </c>
      <c r="G29" s="34" t="s">
        <v>146</v>
      </c>
      <c r="K29" s="39"/>
      <c r="M29" s="20" t="str">
        <f>IF(P29&gt;0,"гр.14 &gt; гр.13 по строке «"&amp;O29&amp;"»","ОК")</f>
        <v>ОК</v>
      </c>
      <c r="N29" s="76" t="s">
        <v>147</v>
      </c>
      <c r="O29" s="21" t="str">
        <f t="shared" si="1"/>
        <v>—</v>
      </c>
      <c r="P29" s="22">
        <f t="shared" si="0"/>
        <v>0</v>
      </c>
      <c r="Q29" s="22" t="b">
        <f>H21&lt;=G21</f>
        <v>1</v>
      </c>
    </row>
    <row r="30" spans="1:17" ht="25.5" customHeight="1" x14ac:dyDescent="0.3">
      <c r="A30" s="28" t="s">
        <v>148</v>
      </c>
      <c r="B30" s="28" t="s">
        <v>79</v>
      </c>
      <c r="C30" s="28" t="s">
        <v>80</v>
      </c>
      <c r="D30" s="28" t="s">
        <v>81</v>
      </c>
      <c r="E30" s="28" t="s">
        <v>82</v>
      </c>
      <c r="F30" s="28" t="s">
        <v>83</v>
      </c>
      <c r="G30" s="28" t="s">
        <v>84</v>
      </c>
      <c r="K30" s="39"/>
      <c r="M30" s="20" t="str">
        <f>IF(P30&gt;0,"гр.14.1 &gt; гр.14 по строке «"&amp;O30&amp;"»","ОК")</f>
        <v>ОК</v>
      </c>
      <c r="N30" s="76" t="s">
        <v>149</v>
      </c>
      <c r="O30" s="21" t="str">
        <f t="shared" si="1"/>
        <v>—</v>
      </c>
      <c r="P30" s="22">
        <f t="shared" si="0"/>
        <v>0</v>
      </c>
      <c r="Q30" s="22" t="b">
        <f>I21&lt;=H21</f>
        <v>1</v>
      </c>
    </row>
    <row r="31" spans="1:17" ht="30.75" x14ac:dyDescent="0.3">
      <c r="A31" s="34" t="s">
        <v>150</v>
      </c>
      <c r="B31" s="62">
        <f t="shared" ref="B31:G31" si="2">B32+B33</f>
        <v>361</v>
      </c>
      <c r="C31" s="62">
        <f t="shared" si="2"/>
        <v>361</v>
      </c>
      <c r="D31" s="62">
        <f t="shared" si="2"/>
        <v>361</v>
      </c>
      <c r="E31" s="62">
        <f t="shared" si="2"/>
        <v>361</v>
      </c>
      <c r="F31" s="62">
        <f t="shared" si="2"/>
        <v>0</v>
      </c>
      <c r="G31" s="62">
        <f t="shared" si="2"/>
        <v>0</v>
      </c>
      <c r="M31" s="20" t="str">
        <f>IF(P31&gt;0,"гр.14.2 &gt; гр.14 по строке «"&amp;O31&amp;"»","ОК")</f>
        <v>ОК</v>
      </c>
      <c r="N31" s="76" t="s">
        <v>151</v>
      </c>
      <c r="O31" s="21" t="str">
        <f t="shared" si="1"/>
        <v>—</v>
      </c>
      <c r="P31" s="22">
        <f t="shared" si="0"/>
        <v>0</v>
      </c>
      <c r="Q31" s="22" t="b">
        <f>J21&lt;=H21</f>
        <v>1</v>
      </c>
    </row>
    <row r="32" spans="1:17" ht="45.75" x14ac:dyDescent="0.3">
      <c r="A32" s="28" t="s">
        <v>152</v>
      </c>
      <c r="B32" s="62">
        <f>A15</f>
        <v>182</v>
      </c>
      <c r="C32" s="62">
        <f>B15</f>
        <v>182</v>
      </c>
      <c r="D32" s="62">
        <f>C15</f>
        <v>182</v>
      </c>
      <c r="E32" s="62">
        <f>D15</f>
        <v>182</v>
      </c>
      <c r="F32" s="62">
        <f>H15</f>
        <v>0</v>
      </c>
      <c r="G32" s="62">
        <f>I15</f>
        <v>0</v>
      </c>
      <c r="M32" s="20" t="str">
        <f>IF(P32&gt;0,"гр.14.3 &gt; гр.14.2 по строке «"&amp;O32&amp;"»","ОК")</f>
        <v>ОК</v>
      </c>
      <c r="N32" s="76" t="s">
        <v>153</v>
      </c>
      <c r="O32" s="21" t="str">
        <f t="shared" si="1"/>
        <v>—</v>
      </c>
      <c r="P32" s="22">
        <f t="shared" si="0"/>
        <v>0</v>
      </c>
      <c r="Q32" s="22" t="b">
        <f>K21&lt;=J21</f>
        <v>1</v>
      </c>
    </row>
    <row r="33" spans="1:17" ht="30.75" x14ac:dyDescent="0.3">
      <c r="A33" s="28" t="s">
        <v>154</v>
      </c>
      <c r="B33" s="62">
        <f>A21</f>
        <v>179</v>
      </c>
      <c r="C33" s="62">
        <f>B21</f>
        <v>179</v>
      </c>
      <c r="D33" s="62">
        <f>C21</f>
        <v>179</v>
      </c>
      <c r="E33" s="62">
        <f>D21</f>
        <v>179</v>
      </c>
      <c r="F33" s="62">
        <f>H21</f>
        <v>0</v>
      </c>
      <c r="G33" s="62">
        <f>I21</f>
        <v>0</v>
      </c>
      <c r="M33" s="20" t="str">
        <f>IF(P33&gt;0,"гр.15 &gt; гр.11 по строке «"&amp;O33&amp;"»","ОК")</f>
        <v>ОК</v>
      </c>
      <c r="N33" s="76" t="s">
        <v>155</v>
      </c>
      <c r="O33" s="21" t="str">
        <f t="shared" si="1"/>
        <v>—</v>
      </c>
      <c r="P33" s="22">
        <f t="shared" si="0"/>
        <v>0</v>
      </c>
      <c r="Q33" s="22" t="b">
        <f>L21&lt;=C21</f>
        <v>1</v>
      </c>
    </row>
  </sheetData>
  <sheetProtection password="DB70" sheet="1" objects="1" scenarios="1" autoFilter="0"/>
  <mergeCells count="30">
    <mergeCell ref="A10:I10"/>
    <mergeCell ref="A9:I9"/>
    <mergeCell ref="M12:M14"/>
    <mergeCell ref="L12:L13"/>
    <mergeCell ref="A22:D22"/>
    <mergeCell ref="C12:G12"/>
    <mergeCell ref="K18:K19"/>
    <mergeCell ref="L18:L19"/>
    <mergeCell ref="I12:I13"/>
    <mergeCell ref="I18:I19"/>
    <mergeCell ref="J12:J13"/>
    <mergeCell ref="J18:J19"/>
    <mergeCell ref="H12:H13"/>
    <mergeCell ref="H18:H19"/>
    <mergeCell ref="A26:C26"/>
    <mergeCell ref="F26:I26"/>
    <mergeCell ref="A6:I6"/>
    <mergeCell ref="A12:A13"/>
    <mergeCell ref="A18:A19"/>
    <mergeCell ref="A25:C25"/>
    <mergeCell ref="F25:I25"/>
    <mergeCell ref="B12:B13"/>
    <mergeCell ref="A24:C24"/>
    <mergeCell ref="F24:I24"/>
    <mergeCell ref="E7:F7"/>
    <mergeCell ref="A11:K11"/>
    <mergeCell ref="A17:K17"/>
    <mergeCell ref="C18:G18"/>
    <mergeCell ref="B18:B19"/>
    <mergeCell ref="K12:K13"/>
  </mergeCells>
  <conditionalFormatting sqref="M16">
    <cfRule type="expression" dxfId="45" priority="19" stopIfTrue="1">
      <formula>M16&lt;&gt;"ОК"</formula>
    </cfRule>
  </conditionalFormatting>
  <conditionalFormatting sqref="M18">
    <cfRule type="expression" dxfId="44" priority="17" stopIfTrue="1">
      <formula>M18&lt;&gt;"ОК"</formula>
    </cfRule>
  </conditionalFormatting>
  <conditionalFormatting sqref="M15">
    <cfRule type="expression" dxfId="43" priority="20" stopIfTrue="1">
      <formula>M15&lt;&gt;"ОК"</formula>
    </cfRule>
  </conditionalFormatting>
  <conditionalFormatting sqref="M17">
    <cfRule type="expression" dxfId="42" priority="18" stopIfTrue="1">
      <formula>M17&lt;&gt;"ОК"</formula>
    </cfRule>
  </conditionalFormatting>
  <conditionalFormatting sqref="M19">
    <cfRule type="expression" dxfId="41" priority="16" stopIfTrue="1">
      <formula>M19&lt;&gt;"ОК"</formula>
    </cfRule>
  </conditionalFormatting>
  <conditionalFormatting sqref="M21">
    <cfRule type="expression" dxfId="40" priority="15" stopIfTrue="1">
      <formula>M21&lt;&gt;"ОК"</formula>
    </cfRule>
  </conditionalFormatting>
  <conditionalFormatting sqref="M22">
    <cfRule type="expression" dxfId="39" priority="14" stopIfTrue="1">
      <formula>M22&lt;&gt;"ОК"</formula>
    </cfRule>
  </conditionalFormatting>
  <conditionalFormatting sqref="M23">
    <cfRule type="expression" dxfId="38" priority="13" stopIfTrue="1">
      <formula>M23&lt;&gt;"ОК"</formula>
    </cfRule>
  </conditionalFormatting>
  <conditionalFormatting sqref="M24">
    <cfRule type="expression" dxfId="37" priority="12" stopIfTrue="1">
      <formula>M24&lt;&gt;"ОК"</formula>
    </cfRule>
  </conditionalFormatting>
  <conditionalFormatting sqref="M25">
    <cfRule type="expression" dxfId="36" priority="11" stopIfTrue="1">
      <formula>M25&lt;&gt;"ОК"</formula>
    </cfRule>
  </conditionalFormatting>
  <conditionalFormatting sqref="M26">
    <cfRule type="expression" dxfId="35" priority="10" stopIfTrue="1">
      <formula>M26&lt;&gt;"ОК"</formula>
    </cfRule>
  </conditionalFormatting>
  <conditionalFormatting sqref="M27">
    <cfRule type="expression" dxfId="34" priority="9" stopIfTrue="1">
      <formula>M27&lt;&gt;"ОК"</formula>
    </cfRule>
  </conditionalFormatting>
  <conditionalFormatting sqref="M28">
    <cfRule type="expression" dxfId="33" priority="8" stopIfTrue="1">
      <formula>M28&lt;&gt;"ОК"</formula>
    </cfRule>
  </conditionalFormatting>
  <conditionalFormatting sqref="M29">
    <cfRule type="expression" dxfId="32" priority="7" stopIfTrue="1">
      <formula>M29&lt;&gt;"ОК"</formula>
    </cfRule>
  </conditionalFormatting>
  <conditionalFormatting sqref="M30">
    <cfRule type="expression" dxfId="31" priority="6" stopIfTrue="1">
      <formula>M30&lt;&gt;"ОК"</formula>
    </cfRule>
  </conditionalFormatting>
  <conditionalFormatting sqref="M31">
    <cfRule type="expression" dxfId="30" priority="5" stopIfTrue="1">
      <formula>M31&lt;&gt;"ОК"</formula>
    </cfRule>
  </conditionalFormatting>
  <conditionalFormatting sqref="M32">
    <cfRule type="expression" dxfId="29" priority="4" stopIfTrue="1">
      <formula>M32&lt;&gt;"ОК"</formula>
    </cfRule>
  </conditionalFormatting>
  <conditionalFormatting sqref="M33">
    <cfRule type="expression" dxfId="28" priority="3" stopIfTrue="1">
      <formula>M33&lt;&gt;"ОК"</formula>
    </cfRule>
  </conditionalFormatting>
  <conditionalFormatting sqref="B8">
    <cfRule type="expression" dxfId="27" priority="1">
      <formula>ISERROR($A$1)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7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7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7">
      <formula1>Месяцы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21:L21 E21:F21 E15:F15 H15:L15">
      <formula1>AND($G$7&lt;&gt;0,$H$7&lt;&gt;0,$I$7&lt;&gt;0,$A$9&lt;&gt;0,$F$24&lt;&gt;0,$F$25&lt;&gt;0,$F$26&lt;&gt;0,ISNUMBER(E15),IF(ISERROR(SEARCH(",?",E15)),0,1)=0)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" sqref="A9:I9">
      <formula1>Названия_организаций</formula1>
    </dataValidation>
  </dataValidation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00FF"/>
    <pageSetUpPr fitToPage="1"/>
  </sheetPr>
  <dimension ref="A1:AB31"/>
  <sheetViews>
    <sheetView zoomScale="40" zoomScaleNormal="40" workbookViewId="0">
      <selection activeCell="J11" sqref="J11"/>
    </sheetView>
  </sheetViews>
  <sheetFormatPr defaultRowHeight="15.75" x14ac:dyDescent="0.25"/>
  <cols>
    <col min="1" max="1" width="46.42578125" style="16" customWidth="1"/>
    <col min="2" max="2" width="12.140625" style="16" customWidth="1"/>
    <col min="3" max="3" width="15.42578125" style="16" bestFit="1" customWidth="1"/>
    <col min="4" max="4" width="14.28515625" style="16" customWidth="1"/>
    <col min="5" max="5" width="12.28515625" style="16" customWidth="1"/>
    <col min="6" max="6" width="14.5703125" style="16" customWidth="1"/>
    <col min="7" max="7" width="12.42578125" style="16" customWidth="1"/>
    <col min="8" max="15" width="21.7109375" style="16" customWidth="1"/>
    <col min="16" max="17" width="17.7109375" style="16" customWidth="1"/>
    <col min="18" max="18" width="18.7109375" style="16" customWidth="1"/>
    <col min="19" max="19" width="19.28515625" style="16" customWidth="1"/>
    <col min="20" max="20" width="18.42578125" style="16" customWidth="1"/>
    <col min="21" max="21" width="19.42578125" style="16" customWidth="1"/>
    <col min="22" max="22" width="12.85546875" style="16" customWidth="1"/>
    <col min="23" max="23" width="85.140625" style="16" bestFit="1" customWidth="1"/>
    <col min="24" max="24" width="44.42578125" style="16" hidden="1" customWidth="1"/>
    <col min="25" max="28" width="9.140625" style="16" hidden="1" customWidth="1"/>
    <col min="29" max="16384" width="9.140625" style="16"/>
  </cols>
  <sheetData>
    <row r="1" spans="1:28" x14ac:dyDescent="0.25">
      <c r="A1" s="14" t="str">
        <f>IF(C1=TRUE,DATEVALUE(C3&amp;"."&amp;VLOOKUP(D3,Help!$H$1:$I$12,2,0)&amp;"."&amp;E3),"22.07.1966")</f>
        <v>22.07.1966</v>
      </c>
      <c r="B1" s="14" t="e">
        <f>C3&amp;"."&amp;VLOOKUP(D3,Help!$H$1:$I$12,2,0)&amp;"."&amp;E3</f>
        <v>#N/A</v>
      </c>
      <c r="C1" s="14" t="b">
        <f>AND(C3&lt;&gt;"",D3&lt;&gt;"",E3&lt;&gt;"")</f>
        <v>0</v>
      </c>
      <c r="D1" s="15"/>
      <c r="E1" s="15"/>
    </row>
    <row r="2" spans="1:28" ht="36.75" customHeight="1" x14ac:dyDescent="0.25">
      <c r="A2" s="153" t="s">
        <v>156</v>
      </c>
      <c r="B2" s="154"/>
      <c r="C2" s="154"/>
      <c r="D2" s="154"/>
      <c r="E2" s="154"/>
      <c r="F2" s="154"/>
      <c r="G2" s="154"/>
    </row>
    <row r="3" spans="1:28" s="6" customFormat="1" ht="18.75" x14ac:dyDescent="0.3">
      <c r="B3" s="1"/>
      <c r="C3" s="5"/>
      <c r="D3" s="133" t="s">
        <v>1</v>
      </c>
      <c r="E3" s="134"/>
      <c r="F3" s="90">
        <f>IF(профосмотры!G3&lt;&gt;"",профосмотры!G3,"")</f>
        <v>28</v>
      </c>
      <c r="G3" s="90" t="str">
        <f>IF(профосмотры!H3&lt;&gt;"",профосмотры!H3,"")</f>
        <v>декабря</v>
      </c>
      <c r="H3" s="90">
        <f>IF(профосмотры!I3&lt;&gt;"",профосмотры!I3,"")</f>
        <v>2021</v>
      </c>
      <c r="I3" s="98"/>
      <c r="J3" s="5"/>
      <c r="K3" s="2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8" s="80" customFormat="1" ht="24" thickBot="1" x14ac:dyDescent="0.4">
      <c r="B4" s="79"/>
      <c r="C4" s="79"/>
      <c r="D4" s="79"/>
      <c r="E4" s="79"/>
      <c r="F4" s="82" t="s">
        <v>2</v>
      </c>
      <c r="G4" s="82" t="s">
        <v>3</v>
      </c>
      <c r="H4" s="82" t="s">
        <v>4</v>
      </c>
      <c r="I4"/>
      <c r="J4"/>
      <c r="K4"/>
      <c r="L4"/>
      <c r="M4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8" s="15" customFormat="1" ht="24" customHeight="1" thickBot="1" x14ac:dyDescent="0.3">
      <c r="A5" s="195" t="str">
        <f>IF(профосмотры!C5&lt;&gt;"",профосмотры!C5,"")</f>
        <v>ГБУЗ «Нехаевская ЦРБ»</v>
      </c>
      <c r="B5" s="196"/>
      <c r="C5" s="196"/>
      <c r="D5" s="196"/>
      <c r="E5" s="197"/>
      <c r="I5"/>
      <c r="J5"/>
      <c r="K5"/>
      <c r="L5"/>
      <c r="M5"/>
    </row>
    <row r="6" spans="1:28" s="15" customFormat="1" ht="27" customHeight="1" x14ac:dyDescent="0.25">
      <c r="A6" s="198" t="s">
        <v>100</v>
      </c>
      <c r="B6" s="198"/>
      <c r="C6" s="198"/>
      <c r="D6" s="198"/>
      <c r="E6" s="198"/>
      <c r="V6" s="18"/>
    </row>
    <row r="7" spans="1:28" ht="26.25" customHeight="1" x14ac:dyDescent="0.25">
      <c r="A7" s="200"/>
      <c r="B7" s="199" t="s">
        <v>157</v>
      </c>
      <c r="C7" s="199"/>
      <c r="D7" s="199"/>
      <c r="E7" s="189" t="s">
        <v>22</v>
      </c>
      <c r="F7" s="189"/>
      <c r="G7" s="189"/>
      <c r="H7" s="185" t="s">
        <v>158</v>
      </c>
      <c r="I7" s="185" t="s">
        <v>159</v>
      </c>
      <c r="J7" s="185" t="s">
        <v>160</v>
      </c>
      <c r="K7" s="187" t="s">
        <v>161</v>
      </c>
      <c r="L7" s="187"/>
      <c r="M7" s="187"/>
      <c r="N7" s="187"/>
      <c r="O7" s="187"/>
      <c r="P7" s="187"/>
      <c r="Q7" s="187"/>
      <c r="R7" s="187"/>
      <c r="S7" s="188" t="s">
        <v>162</v>
      </c>
      <c r="T7" s="185" t="s">
        <v>163</v>
      </c>
      <c r="U7" s="185" t="s">
        <v>164</v>
      </c>
      <c r="V7" s="186" t="s">
        <v>165</v>
      </c>
      <c r="W7" s="136" t="s">
        <v>15</v>
      </c>
    </row>
    <row r="8" spans="1:28" ht="112.5" customHeight="1" thickBot="1" x14ac:dyDescent="0.3">
      <c r="A8" s="200"/>
      <c r="B8" s="109" t="s">
        <v>21</v>
      </c>
      <c r="C8" s="107" t="s">
        <v>166</v>
      </c>
      <c r="D8" s="107" t="s">
        <v>167</v>
      </c>
      <c r="E8" s="109" t="s">
        <v>21</v>
      </c>
      <c r="F8" s="107" t="s">
        <v>166</v>
      </c>
      <c r="G8" s="107" t="s">
        <v>167</v>
      </c>
      <c r="H8" s="185"/>
      <c r="I8" s="185"/>
      <c r="J8" s="185"/>
      <c r="K8" s="105" t="s">
        <v>168</v>
      </c>
      <c r="L8" s="105" t="s">
        <v>169</v>
      </c>
      <c r="M8" s="96" t="s">
        <v>170</v>
      </c>
      <c r="N8" s="105" t="s">
        <v>171</v>
      </c>
      <c r="O8" s="105" t="s">
        <v>172</v>
      </c>
      <c r="P8" s="105" t="s">
        <v>173</v>
      </c>
      <c r="Q8" s="95" t="s">
        <v>174</v>
      </c>
      <c r="R8" s="105" t="s">
        <v>175</v>
      </c>
      <c r="S8" s="188"/>
      <c r="T8" s="185"/>
      <c r="U8" s="185"/>
      <c r="V8" s="186"/>
      <c r="W8" s="136"/>
    </row>
    <row r="9" spans="1:28" ht="15.75" customHeight="1" x14ac:dyDescent="0.25">
      <c r="A9" s="108"/>
      <c r="B9" s="93">
        <v>1</v>
      </c>
      <c r="C9" s="93">
        <v>2</v>
      </c>
      <c r="D9" s="93">
        <v>3</v>
      </c>
      <c r="E9" s="93">
        <v>4</v>
      </c>
      <c r="F9" s="93">
        <v>5</v>
      </c>
      <c r="G9" s="93">
        <v>6</v>
      </c>
      <c r="H9" s="93">
        <v>7</v>
      </c>
      <c r="I9" s="93">
        <v>8</v>
      </c>
      <c r="J9" s="86">
        <v>9</v>
      </c>
      <c r="K9" s="86">
        <v>10</v>
      </c>
      <c r="L9" s="86">
        <v>11</v>
      </c>
      <c r="M9" s="86">
        <v>12</v>
      </c>
      <c r="N9" s="86">
        <v>13</v>
      </c>
      <c r="O9" s="86">
        <v>14</v>
      </c>
      <c r="P9" s="86">
        <v>15</v>
      </c>
      <c r="Q9" s="86">
        <v>16</v>
      </c>
      <c r="R9" s="86">
        <v>17</v>
      </c>
      <c r="S9" s="86">
        <v>18</v>
      </c>
      <c r="T9" s="86">
        <v>19</v>
      </c>
      <c r="U9" s="86">
        <v>20</v>
      </c>
      <c r="V9" s="86">
        <v>21</v>
      </c>
      <c r="W9" s="136"/>
    </row>
    <row r="10" spans="1:28" ht="59.25" customHeight="1" x14ac:dyDescent="0.25">
      <c r="A10" s="87" t="s">
        <v>176</v>
      </c>
      <c r="B10" s="94">
        <f>профосмотры!H12</f>
        <v>1410</v>
      </c>
      <c r="C10" s="111">
        <v>150</v>
      </c>
      <c r="D10" s="111">
        <v>190</v>
      </c>
      <c r="E10" s="94">
        <f>профосмотры!I12</f>
        <v>1410</v>
      </c>
      <c r="F10" s="106">
        <v>150</v>
      </c>
      <c r="G10" s="106">
        <v>190</v>
      </c>
      <c r="H10" s="106">
        <v>14</v>
      </c>
      <c r="I10" s="106">
        <v>13</v>
      </c>
      <c r="J10" s="111">
        <v>37</v>
      </c>
      <c r="K10" s="111"/>
      <c r="L10" s="106"/>
      <c r="M10" s="111"/>
      <c r="N10" s="111">
        <v>1</v>
      </c>
      <c r="O10" s="111"/>
      <c r="P10" s="111">
        <v>29</v>
      </c>
      <c r="Q10" s="106"/>
      <c r="R10" s="111">
        <v>1</v>
      </c>
      <c r="S10" s="111"/>
      <c r="T10" s="111">
        <v>8</v>
      </c>
      <c r="U10" s="111">
        <v>2</v>
      </c>
      <c r="V10" s="111">
        <v>2</v>
      </c>
      <c r="W10" s="20" t="str">
        <f>IF(Z10&gt;0,"гр.2 &gt;= гр.1 по строке «"&amp;Y10&amp;"»","ОК")</f>
        <v>ОК</v>
      </c>
      <c r="X10" s="88" t="s">
        <v>177</v>
      </c>
      <c r="Y10" s="21" t="str">
        <f>IF(Z10&gt;0,INDEX($A$10:$A$11,Z10,1),CHAR(151))</f>
        <v>—</v>
      </c>
      <c r="Z10" s="22">
        <f>IF(ISERROR(MATCH(FALSE,AA10:AB10,0)),0,MATCH(FALSE,AA10:AB10,0))</f>
        <v>0</v>
      </c>
      <c r="AA10" s="22" t="b">
        <f>IF(OR($C10&lt;&gt;"",$B10&lt;&gt;0),$C10&lt;$B10,TRUE)</f>
        <v>1</v>
      </c>
      <c r="AB10" s="22" t="b">
        <f>IF(OR($C11&lt;&gt;"",$B11&lt;&gt;0),$C11&lt;$B11,TRUE)</f>
        <v>1</v>
      </c>
    </row>
    <row r="11" spans="1:28" ht="59.25" customHeight="1" x14ac:dyDescent="0.25">
      <c r="A11" s="87" t="s">
        <v>178</v>
      </c>
      <c r="B11" s="94">
        <f>профосмотры!H14</f>
        <v>361</v>
      </c>
      <c r="C11" s="111">
        <v>36</v>
      </c>
      <c r="D11" s="111">
        <v>39</v>
      </c>
      <c r="E11" s="94">
        <f>профосмотры!I14</f>
        <v>361</v>
      </c>
      <c r="F11" s="106">
        <v>36</v>
      </c>
      <c r="G11" s="106">
        <v>39</v>
      </c>
      <c r="H11" s="94">
        <f>'15-17 лет'!G15</f>
        <v>182</v>
      </c>
      <c r="I11" s="94">
        <f>'15-17 лет'!G21</f>
        <v>179</v>
      </c>
      <c r="J11" s="111">
        <v>6</v>
      </c>
      <c r="K11" s="111"/>
      <c r="L11" s="106"/>
      <c r="M11" s="111"/>
      <c r="N11" s="111">
        <v>1</v>
      </c>
      <c r="O11" s="111"/>
      <c r="P11" s="111">
        <v>3</v>
      </c>
      <c r="Q11" s="106"/>
      <c r="R11" s="111"/>
      <c r="S11" s="111"/>
      <c r="T11" s="111"/>
      <c r="U11" s="111"/>
      <c r="V11" s="111"/>
      <c r="W11" s="20" t="str">
        <f>IF(Z11&gt;0,"гр.3 &gt;= гр.1 по строке «"&amp;Y11&amp;"»","ОК")</f>
        <v>ОК</v>
      </c>
      <c r="X11" s="88" t="s">
        <v>179</v>
      </c>
      <c r="Y11" s="21" t="str">
        <f t="shared" ref="Y11:Y30" si="0">IF(Z11&gt;0,INDEX($A$10:$A$11,Z11,1),CHAR(151))</f>
        <v>—</v>
      </c>
      <c r="Z11" s="22">
        <f t="shared" ref="Z11:Z27" si="1">IF(ISERROR(MATCH(FALSE,AA11:AB11,0)),0,MATCH(FALSE,AA11:AB11,0))</f>
        <v>0</v>
      </c>
      <c r="AA11" s="22" t="b">
        <f>IF(OR($D10&lt;&gt;"",$B10&lt;&gt;0),$D10&lt;$B10,TRUE)</f>
        <v>1</v>
      </c>
      <c r="AB11" s="22" t="b">
        <f>IF(OR($D11&lt;&gt;"",$B11&lt;&gt;0),$D11&lt;$B11,TRUE)</f>
        <v>1</v>
      </c>
    </row>
    <row r="12" spans="1:28" ht="18.75" x14ac:dyDescent="0.25">
      <c r="W12" s="20" t="str">
        <f>IF(Z12&gt;0,"гр.4 &gt;= гр.1 по строке «"&amp;Y12&amp;"»","ОК")</f>
        <v>ОК</v>
      </c>
      <c r="X12" s="88" t="s">
        <v>180</v>
      </c>
      <c r="Y12" s="21" t="str">
        <f t="shared" si="0"/>
        <v>—</v>
      </c>
      <c r="Z12" s="22">
        <f t="shared" si="1"/>
        <v>0</v>
      </c>
      <c r="AA12" s="22" t="b">
        <f>IF(OR($E10&lt;&gt;"",$B10&lt;&gt;""),$E10&lt;=$B10,TRUE)</f>
        <v>1</v>
      </c>
      <c r="AB12" s="22" t="b">
        <f>IF(OR($E11&lt;&gt;"",$B11&lt;&gt;""),$E11&lt;=$B11,TRUE)</f>
        <v>1</v>
      </c>
    </row>
    <row r="13" spans="1:28" s="15" customFormat="1" ht="29.25" customHeight="1" x14ac:dyDescent="0.25">
      <c r="F13" s="17"/>
      <c r="H13"/>
      <c r="S13" s="190" t="s">
        <v>181</v>
      </c>
      <c r="T13" s="190"/>
      <c r="W13" s="20" t="str">
        <f>IF(Z13&gt;0,"гр.5 &gt;= гр.4 по строке «"&amp;Y13&amp;"»","ОК")</f>
        <v>ОК</v>
      </c>
      <c r="X13" s="88" t="s">
        <v>182</v>
      </c>
      <c r="Y13" s="21" t="str">
        <f t="shared" si="0"/>
        <v>—</v>
      </c>
      <c r="Z13" s="22">
        <f t="shared" si="1"/>
        <v>0</v>
      </c>
      <c r="AA13" s="22" t="b">
        <f>IF(OR($F10&lt;&gt;"",$E10&lt;&gt;0),$F10&lt;$E10,TRUE)</f>
        <v>1</v>
      </c>
      <c r="AB13" s="22" t="b">
        <f>IF(OR($F11&lt;&gt;"",$E11&lt;&gt;0),$F11&lt;$E11,TRUE)</f>
        <v>1</v>
      </c>
    </row>
    <row r="14" spans="1:28" s="15" customFormat="1" ht="18.75" x14ac:dyDescent="0.25">
      <c r="F14" s="17"/>
      <c r="H14"/>
      <c r="S14" s="178" t="s">
        <v>183</v>
      </c>
      <c r="T14" s="178"/>
      <c r="W14" s="20" t="str">
        <f>IF(Z14&gt;0,"гр.6 &gt;= гр.4 по строке «"&amp;Y14&amp;"»","ОК")</f>
        <v>ОК</v>
      </c>
      <c r="X14" s="88" t="s">
        <v>184</v>
      </c>
      <c r="Y14" s="21" t="str">
        <f t="shared" si="0"/>
        <v>—</v>
      </c>
      <c r="Z14" s="22">
        <f t="shared" si="1"/>
        <v>0</v>
      </c>
      <c r="AA14" s="22" t="b">
        <f>IF(OR($G10&lt;&gt;"",$E10&lt;&gt;0),$G10&lt;$E10,TRUE)</f>
        <v>1</v>
      </c>
      <c r="AB14" s="22" t="b">
        <f>IF(OR($G11&lt;&gt;"",$E11&lt;&gt;0),$G11&lt;$E11,TRUE)</f>
        <v>1</v>
      </c>
    </row>
    <row r="15" spans="1:28" s="15" customFormat="1" ht="19.5" thickBot="1" x14ac:dyDescent="0.3">
      <c r="F15" s="17"/>
      <c r="H15"/>
      <c r="S15" s="178" t="s">
        <v>185</v>
      </c>
      <c r="T15" s="178"/>
      <c r="W15" s="20" t="str">
        <f>IF(Z15&gt;0,"гр.7 &gt; гр.1 по строке «"&amp;Y15&amp;"»","ОК")</f>
        <v>ОК</v>
      </c>
      <c r="X15" s="89" t="s">
        <v>186</v>
      </c>
      <c r="Y15" s="21" t="str">
        <f t="shared" si="0"/>
        <v>—</v>
      </c>
      <c r="Z15" s="22">
        <f t="shared" si="1"/>
        <v>0</v>
      </c>
      <c r="AA15" s="22" t="b">
        <f>$H10&lt;=$B10</f>
        <v>1</v>
      </c>
      <c r="AB15" s="22" t="b">
        <f>$H11&lt;=$B11</f>
        <v>1</v>
      </c>
    </row>
    <row r="16" spans="1:28" ht="18.75" x14ac:dyDescent="0.25">
      <c r="A16" s="162" t="s">
        <v>61</v>
      </c>
      <c r="B16" s="191"/>
      <c r="C16" s="192" t="str">
        <f>IF(профосмотры!E21&lt;&gt;"",профосмотры!E21,"")</f>
        <v>Тридубова Надежда Александровна</v>
      </c>
      <c r="D16" s="193"/>
      <c r="E16" s="194"/>
      <c r="H16"/>
      <c r="S16" s="178" t="s">
        <v>187</v>
      </c>
      <c r="T16" s="178"/>
      <c r="W16" s="20" t="str">
        <f>IF(Z16&gt;0,"гр.8 &gt; гр.1 по строке «"&amp;Y16&amp;"»","ОК")</f>
        <v>ОК</v>
      </c>
      <c r="X16" s="89" t="s">
        <v>188</v>
      </c>
      <c r="Y16" s="21" t="str">
        <f t="shared" si="0"/>
        <v>—</v>
      </c>
      <c r="Z16" s="22">
        <f t="shared" si="1"/>
        <v>0</v>
      </c>
      <c r="AA16" s="22" t="b">
        <f>$I10&lt;=$B10</f>
        <v>1</v>
      </c>
      <c r="AB16" s="22" t="b">
        <f>$I11&lt;=$B11</f>
        <v>1</v>
      </c>
    </row>
    <row r="17" spans="1:28" ht="18.75" x14ac:dyDescent="0.25">
      <c r="A17" s="156" t="s">
        <v>63</v>
      </c>
      <c r="B17" s="157"/>
      <c r="C17" s="179" t="str">
        <f>IF(профосмотры!E22&lt;&gt;"",профосмотры!E22,"")</f>
        <v>Беспалов Владислав Владимирович</v>
      </c>
      <c r="D17" s="180"/>
      <c r="E17" s="181"/>
      <c r="H17"/>
      <c r="S17" s="178" t="s">
        <v>189</v>
      </c>
      <c r="T17" s="178"/>
      <c r="W17" s="20" t="str">
        <f>IF(Z17&gt;0,"гр.7 + гр.8 &gt; гр.1 по строке «"&amp;Y17&amp;"»","ОК")</f>
        <v>ОК</v>
      </c>
      <c r="X17" s="89" t="s">
        <v>190</v>
      </c>
      <c r="Y17" s="21" t="str">
        <f t="shared" si="0"/>
        <v>—</v>
      </c>
      <c r="Z17" s="22">
        <f t="shared" si="1"/>
        <v>0</v>
      </c>
      <c r="AA17" s="22" t="b">
        <f>SUM($H10:$I10)&lt;=$B10</f>
        <v>1</v>
      </c>
      <c r="AB17" s="22" t="b">
        <f>SUM($H11:$I11)&lt;=$B11</f>
        <v>1</v>
      </c>
    </row>
    <row r="18" spans="1:28" ht="19.5" thickBot="1" x14ac:dyDescent="0.3">
      <c r="A18" s="147" t="s">
        <v>65</v>
      </c>
      <c r="B18" s="148"/>
      <c r="C18" s="182">
        <f>IF(профосмотры!E23&lt;&gt;"",профосмотры!E23,"")</f>
        <v>89047542538</v>
      </c>
      <c r="D18" s="183"/>
      <c r="E18" s="184"/>
      <c r="F18"/>
      <c r="G18"/>
      <c r="H18"/>
      <c r="I18"/>
      <c r="J18"/>
      <c r="K18"/>
      <c r="L18"/>
      <c r="M18"/>
      <c r="N18"/>
      <c r="O18"/>
      <c r="P18"/>
      <c r="Q18"/>
      <c r="R18"/>
      <c r="S18" s="178" t="s">
        <v>191</v>
      </c>
      <c r="T18" s="178"/>
      <c r="U18"/>
      <c r="V18"/>
      <c r="W18" s="20" t="str">
        <f>IF(Z18&gt;0,"гр.9 &gt; гр.1 по строке «"&amp;Y18&amp;"»","ОК")</f>
        <v>ОК</v>
      </c>
      <c r="X18" s="89" t="s">
        <v>192</v>
      </c>
      <c r="Y18" s="21" t="str">
        <f t="shared" si="0"/>
        <v>—</v>
      </c>
      <c r="Z18" s="22">
        <f t="shared" si="1"/>
        <v>0</v>
      </c>
      <c r="AA18" s="22" t="b">
        <f>$J10&lt;=$B10</f>
        <v>1</v>
      </c>
      <c r="AB18" s="22" t="b">
        <f>$J11&lt;=$B11</f>
        <v>1</v>
      </c>
    </row>
    <row r="19" spans="1:28" ht="18.75" x14ac:dyDescent="0.25">
      <c r="H19"/>
      <c r="S19" s="178" t="s">
        <v>193</v>
      </c>
      <c r="T19" s="178"/>
      <c r="W19" s="20" t="str">
        <f>IF(Z19&gt;0,"гр.10 &gt; гр.9 по строке «"&amp;Y19&amp;"»","ОК")</f>
        <v>ОК</v>
      </c>
      <c r="X19" s="89" t="s">
        <v>194</v>
      </c>
      <c r="Y19" s="110" t="str">
        <f t="shared" si="0"/>
        <v>—</v>
      </c>
      <c r="Z19" s="22">
        <f t="shared" si="1"/>
        <v>0</v>
      </c>
      <c r="AA19" s="22" t="b">
        <f>$K10&lt;=$J10</f>
        <v>1</v>
      </c>
      <c r="AB19" s="22" t="b">
        <f>$K11&lt;=$J11</f>
        <v>1</v>
      </c>
    </row>
    <row r="20" spans="1:28" ht="18.75" x14ac:dyDescent="0.25">
      <c r="H20"/>
      <c r="S20" s="178" t="s">
        <v>195</v>
      </c>
      <c r="T20" s="178"/>
      <c r="W20" s="20" t="str">
        <f>IF(Z20&gt;0,"гр.11 &gt; гр.9 по строке «"&amp;Y20&amp;"»","ОК")</f>
        <v>ОК</v>
      </c>
      <c r="X20" s="89" t="s">
        <v>196</v>
      </c>
      <c r="Y20" s="110" t="str">
        <f t="shared" si="0"/>
        <v>—</v>
      </c>
      <c r="Z20" s="22">
        <f t="shared" si="1"/>
        <v>0</v>
      </c>
      <c r="AA20" s="22" t="b">
        <f>$L10&lt;=$J10</f>
        <v>1</v>
      </c>
      <c r="AB20" s="22" t="b">
        <f>$L11&lt;=$J11</f>
        <v>1</v>
      </c>
    </row>
    <row r="21" spans="1:28" ht="35.25" customHeight="1" x14ac:dyDescent="0.25">
      <c r="H21"/>
      <c r="S21" s="178" t="s">
        <v>197</v>
      </c>
      <c r="T21" s="178"/>
      <c r="W21" s="20" t="str">
        <f>IF(Z21&gt;0,"гр.12 &gt; гр.11 по строке «"&amp;Y21&amp;"»","ОК")</f>
        <v>ОК</v>
      </c>
      <c r="X21" s="89" t="s">
        <v>198</v>
      </c>
      <c r="Y21" s="110" t="str">
        <f t="shared" si="0"/>
        <v>—</v>
      </c>
      <c r="Z21" s="22">
        <f t="shared" si="1"/>
        <v>0</v>
      </c>
      <c r="AA21" s="22" t="b">
        <f>$M10&lt;=$L10</f>
        <v>1</v>
      </c>
      <c r="AB21" s="22" t="b">
        <f>$M11&lt;=$L11</f>
        <v>1</v>
      </c>
    </row>
    <row r="22" spans="1:28" ht="51.75" customHeight="1" x14ac:dyDescent="0.25">
      <c r="H22"/>
      <c r="S22" s="178" t="s">
        <v>199</v>
      </c>
      <c r="T22" s="178"/>
      <c r="W22" s="20" t="str">
        <f>IF(Z22&gt;0,"гр.13 &gt; гр.9 по строке «"&amp;Y22&amp;"»","ОК")</f>
        <v>ОК</v>
      </c>
      <c r="X22" s="89" t="s">
        <v>200</v>
      </c>
      <c r="Y22" s="110" t="str">
        <f t="shared" si="0"/>
        <v>—</v>
      </c>
      <c r="Z22" s="22">
        <f t="shared" si="1"/>
        <v>0</v>
      </c>
      <c r="AA22" s="22" t="b">
        <f>$N10&lt;=$J10</f>
        <v>1</v>
      </c>
      <c r="AB22" s="22" t="b">
        <f>$N11&lt;=$J11</f>
        <v>1</v>
      </c>
    </row>
    <row r="23" spans="1:28" ht="18.75" x14ac:dyDescent="0.25">
      <c r="H23"/>
      <c r="W23" s="20" t="str">
        <f>IF(Z23&gt;0,"гр.14 &gt; гр.9 по строке «"&amp;Y23&amp;"»","ОК")</f>
        <v>ОК</v>
      </c>
      <c r="X23" s="89" t="s">
        <v>201</v>
      </c>
      <c r="Y23" s="110" t="str">
        <f t="shared" si="0"/>
        <v>—</v>
      </c>
      <c r="Z23" s="22">
        <f t="shared" si="1"/>
        <v>0</v>
      </c>
      <c r="AA23" s="22" t="b">
        <f>$O10&lt;=$J10</f>
        <v>1</v>
      </c>
      <c r="AB23" s="22" t="b">
        <f>$O11&lt;=$J11</f>
        <v>1</v>
      </c>
    </row>
    <row r="24" spans="1:28" ht="18.75" x14ac:dyDescent="0.25">
      <c r="H24"/>
      <c r="W24" s="20" t="str">
        <f>IF(Z24&gt;0,"гр.15 &gt; гр.9 по строке «"&amp;Y24&amp;"»","ОК")</f>
        <v>ОК</v>
      </c>
      <c r="X24" s="89" t="s">
        <v>202</v>
      </c>
      <c r="Y24" s="110" t="str">
        <f t="shared" si="0"/>
        <v>—</v>
      </c>
      <c r="Z24" s="22">
        <f t="shared" si="1"/>
        <v>0</v>
      </c>
      <c r="AA24" s="22" t="b">
        <f>$P10&lt;=$J10</f>
        <v>1</v>
      </c>
      <c r="AB24" s="22" t="b">
        <f>$P11&lt;=$J11</f>
        <v>1</v>
      </c>
    </row>
    <row r="25" spans="1:28" ht="18.75" x14ac:dyDescent="0.25">
      <c r="H25"/>
      <c r="W25" s="20" t="str">
        <f>IF(Z25&gt;0,"гр.16 &gt; гр.1 по строке «"&amp;Y25&amp;"»","ОК")</f>
        <v>ОК</v>
      </c>
      <c r="X25" s="89" t="s">
        <v>203</v>
      </c>
      <c r="Y25" s="110" t="str">
        <f t="shared" si="0"/>
        <v>—</v>
      </c>
      <c r="Z25" s="22">
        <f t="shared" si="1"/>
        <v>0</v>
      </c>
      <c r="AA25" s="22" t="b">
        <f>$Q10&lt;=$B10</f>
        <v>1</v>
      </c>
      <c r="AB25" s="22" t="b">
        <f>$Q11&lt;=$B11</f>
        <v>1</v>
      </c>
    </row>
    <row r="26" spans="1:28" ht="18.75" x14ac:dyDescent="0.25">
      <c r="H26"/>
      <c r="W26" s="20" t="str">
        <f>IF(Z26&gt;0,"гр.17 &gt; гр.9 по строке «"&amp;Y26&amp;"»","ОК")</f>
        <v>ОК</v>
      </c>
      <c r="X26" s="89" t="s">
        <v>204</v>
      </c>
      <c r="Y26" s="110" t="str">
        <f t="shared" si="0"/>
        <v>—</v>
      </c>
      <c r="Z26" s="22">
        <f t="shared" si="1"/>
        <v>0</v>
      </c>
      <c r="AA26" s="22" t="b">
        <f>$R10&lt;=$J10</f>
        <v>1</v>
      </c>
      <c r="AB26" s="22" t="b">
        <f>$R11&lt;=$J11</f>
        <v>1</v>
      </c>
    </row>
    <row r="27" spans="1:28" ht="18.75" x14ac:dyDescent="0.25">
      <c r="H27"/>
      <c r="W27" s="20" t="str">
        <f>IF(Z27&gt;0,"гр.18 &gt; гр.1 по строке «"&amp;Y27&amp;"»","ОК")</f>
        <v>ОК</v>
      </c>
      <c r="X27" s="89" t="s">
        <v>205</v>
      </c>
      <c r="Y27" s="110" t="str">
        <f t="shared" si="0"/>
        <v>—</v>
      </c>
      <c r="Z27" s="22">
        <f t="shared" si="1"/>
        <v>0</v>
      </c>
      <c r="AA27" s="22" t="b">
        <f>$S10&lt;=$B10</f>
        <v>1</v>
      </c>
      <c r="AB27" s="22" t="b">
        <f>$S11&lt;=$B11</f>
        <v>1</v>
      </c>
    </row>
    <row r="28" spans="1:28" ht="18.75" x14ac:dyDescent="0.25">
      <c r="H28"/>
      <c r="W28" s="20" t="str">
        <f>IF(Z28&gt;0,"гр.19 &gt; гр.9 по строке «"&amp;Y28&amp;"»","ОК")</f>
        <v>ОК</v>
      </c>
      <c r="X28" s="89" t="s">
        <v>206</v>
      </c>
      <c r="Y28" s="110" t="str">
        <f t="shared" si="0"/>
        <v>—</v>
      </c>
      <c r="Z28" s="22">
        <f t="shared" ref="Z28:Z30" si="2">IF(ISERROR(MATCH(FALSE,AA28:AB28,0)),0,MATCH(FALSE,AA28:AB28,0))</f>
        <v>0</v>
      </c>
      <c r="AA28" s="22" t="b">
        <f>$T10&lt;=$J10</f>
        <v>1</v>
      </c>
      <c r="AB28" s="22" t="b">
        <f>$T11&lt;=$J11</f>
        <v>1</v>
      </c>
    </row>
    <row r="29" spans="1:28" ht="18.75" x14ac:dyDescent="0.25">
      <c r="H29"/>
      <c r="W29" s="20" t="str">
        <f>IF(Z29&gt;0,"гр.20 &gt; гр.9 по строке «"&amp;Y29&amp;"»","ОК")</f>
        <v>ОК</v>
      </c>
      <c r="X29" s="89" t="s">
        <v>207</v>
      </c>
      <c r="Y29" s="21" t="str">
        <f t="shared" si="0"/>
        <v>—</v>
      </c>
      <c r="Z29" s="22">
        <f t="shared" si="2"/>
        <v>0</v>
      </c>
      <c r="AA29" s="22" t="b">
        <f>$U10&lt;=$J10</f>
        <v>1</v>
      </c>
      <c r="AB29" s="22" t="b">
        <f>$U11&lt;=$J11</f>
        <v>1</v>
      </c>
    </row>
    <row r="30" spans="1:28" ht="18.75" x14ac:dyDescent="0.25">
      <c r="H30"/>
      <c r="W30" s="20" t="str">
        <f>IF(Z30&gt;0,"гр.21 &gt; гр.20 по строке «"&amp;Y30&amp;"»","ОК")</f>
        <v>ОК</v>
      </c>
      <c r="X30" s="89" t="s">
        <v>208</v>
      </c>
      <c r="Y30" s="21" t="str">
        <f t="shared" si="0"/>
        <v>—</v>
      </c>
      <c r="Z30" s="22">
        <f t="shared" si="2"/>
        <v>0</v>
      </c>
      <c r="AA30" s="22" t="b">
        <f>$V10&lt;=$U10</f>
        <v>1</v>
      </c>
      <c r="AB30" s="22" t="b">
        <f>$V11&lt;=$U11</f>
        <v>1</v>
      </c>
    </row>
    <row r="31" spans="1:28" x14ac:dyDescent="0.25">
      <c r="H31"/>
    </row>
  </sheetData>
  <sheetProtection password="DB70" sheet="1" objects="1" scenarios="1" autoFilter="0"/>
  <mergeCells count="32">
    <mergeCell ref="A2:G2"/>
    <mergeCell ref="A16:B16"/>
    <mergeCell ref="C16:E16"/>
    <mergeCell ref="A5:E5"/>
    <mergeCell ref="A6:E6"/>
    <mergeCell ref="B7:D7"/>
    <mergeCell ref="A7:A8"/>
    <mergeCell ref="D3:E3"/>
    <mergeCell ref="A17:B17"/>
    <mergeCell ref="A18:B18"/>
    <mergeCell ref="C17:E17"/>
    <mergeCell ref="C18:E18"/>
    <mergeCell ref="W7:W9"/>
    <mergeCell ref="T7:T8"/>
    <mergeCell ref="U7:U8"/>
    <mergeCell ref="V7:V8"/>
    <mergeCell ref="I7:I8"/>
    <mergeCell ref="J7:J8"/>
    <mergeCell ref="K7:R7"/>
    <mergeCell ref="S7:S8"/>
    <mergeCell ref="E7:G7"/>
    <mergeCell ref="S13:T13"/>
    <mergeCell ref="H7:H8"/>
    <mergeCell ref="S19:T19"/>
    <mergeCell ref="S20:T20"/>
    <mergeCell ref="S21:T21"/>
    <mergeCell ref="S22:T22"/>
    <mergeCell ref="S14:T14"/>
    <mergeCell ref="S15:T15"/>
    <mergeCell ref="S16:T16"/>
    <mergeCell ref="S17:T17"/>
    <mergeCell ref="S18:T18"/>
  </mergeCells>
  <conditionalFormatting sqref="W10">
    <cfRule type="expression" dxfId="26" priority="30" stopIfTrue="1">
      <formula>W10&lt;&gt;"ОК"</formula>
    </cfRule>
  </conditionalFormatting>
  <conditionalFormatting sqref="W21">
    <cfRule type="expression" dxfId="25" priority="11" stopIfTrue="1">
      <formula>W21&lt;&gt;"ОК"</formula>
    </cfRule>
  </conditionalFormatting>
  <conditionalFormatting sqref="W11">
    <cfRule type="expression" dxfId="24" priority="21" stopIfTrue="1">
      <formula>W11&lt;&gt;"ОК"</formula>
    </cfRule>
  </conditionalFormatting>
  <conditionalFormatting sqref="W22">
    <cfRule type="expression" dxfId="23" priority="10" stopIfTrue="1">
      <formula>W22&lt;&gt;"ОК"</formula>
    </cfRule>
  </conditionalFormatting>
  <conditionalFormatting sqref="W13">
    <cfRule type="expression" dxfId="22" priority="20" stopIfTrue="1">
      <formula>W13&lt;&gt;"ОК"</formula>
    </cfRule>
  </conditionalFormatting>
  <conditionalFormatting sqref="W14">
    <cfRule type="expression" dxfId="21" priority="19" stopIfTrue="1">
      <formula>W14&lt;&gt;"ОК"</formula>
    </cfRule>
  </conditionalFormatting>
  <conditionalFormatting sqref="W15">
    <cfRule type="expression" dxfId="20" priority="18" stopIfTrue="1">
      <formula>W15&lt;&gt;"ОК"</formula>
    </cfRule>
  </conditionalFormatting>
  <conditionalFormatting sqref="W16">
    <cfRule type="expression" dxfId="19" priority="17" stopIfTrue="1">
      <formula>W16&lt;&gt;"ОК"</formula>
    </cfRule>
  </conditionalFormatting>
  <conditionalFormatting sqref="W17">
    <cfRule type="expression" dxfId="18" priority="16" stopIfTrue="1">
      <formula>W17&lt;&gt;"ОК"</formula>
    </cfRule>
  </conditionalFormatting>
  <conditionalFormatting sqref="W28">
    <cfRule type="expression" dxfId="17" priority="4" stopIfTrue="1">
      <formula>W28&lt;&gt;"ОК"</formula>
    </cfRule>
  </conditionalFormatting>
  <conditionalFormatting sqref="W18">
    <cfRule type="expression" dxfId="16" priority="14" stopIfTrue="1">
      <formula>W18&lt;&gt;"ОК"</formula>
    </cfRule>
  </conditionalFormatting>
  <conditionalFormatting sqref="W19">
    <cfRule type="expression" dxfId="15" priority="13" stopIfTrue="1">
      <formula>W19&lt;&gt;"ОК"</formula>
    </cfRule>
  </conditionalFormatting>
  <conditionalFormatting sqref="W20">
    <cfRule type="expression" dxfId="14" priority="12" stopIfTrue="1">
      <formula>W20&lt;&gt;"ОК"</formula>
    </cfRule>
  </conditionalFormatting>
  <conditionalFormatting sqref="W23">
    <cfRule type="expression" dxfId="13" priority="9" stopIfTrue="1">
      <formula>W23&lt;&gt;"ОК"</formula>
    </cfRule>
  </conditionalFormatting>
  <conditionalFormatting sqref="W24">
    <cfRule type="expression" dxfId="12" priority="8" stopIfTrue="1">
      <formula>W24&lt;&gt;"ОК"</formula>
    </cfRule>
  </conditionalFormatting>
  <conditionalFormatting sqref="W25">
    <cfRule type="expression" dxfId="11" priority="7" stopIfTrue="1">
      <formula>W25&lt;&gt;"ОК"</formula>
    </cfRule>
  </conditionalFormatting>
  <conditionalFormatting sqref="W26">
    <cfRule type="expression" dxfId="10" priority="6" stopIfTrue="1">
      <formula>W26&lt;&gt;"ОК"</formula>
    </cfRule>
  </conditionalFormatting>
  <conditionalFormatting sqref="W27">
    <cfRule type="expression" dxfId="9" priority="5" stopIfTrue="1">
      <formula>W27&lt;&gt;"ОК"</formula>
    </cfRule>
  </conditionalFormatting>
  <conditionalFormatting sqref="W12">
    <cfRule type="expression" dxfId="8" priority="3" stopIfTrue="1">
      <formula>W12&lt;&gt;"ОК"</formula>
    </cfRule>
  </conditionalFormatting>
  <conditionalFormatting sqref="W29">
    <cfRule type="expression" dxfId="7" priority="2" stopIfTrue="1">
      <formula>W29&lt;&gt;"ОК"</formula>
    </cfRule>
  </conditionalFormatting>
  <conditionalFormatting sqref="W30">
    <cfRule type="expression" dxfId="6" priority="1" stopIfTrue="1">
      <formula>W30&lt;&gt;"ОК"</formula>
    </cfRule>
  </conditionalFormatting>
  <dataValidations count="5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10:I10 C10:D11 F10:G11 J10:V11">
      <formula1>AND($A$5&lt;&gt;0,$F$3&lt;&gt;0,$G$3&lt;&gt;0,$H$3&lt;&gt;0,$C$16&lt;&gt;0,$C$17&lt;&gt;0,$C$18&lt;&gt;0,ISNUMBER(C10),IF(ISERROR(SEARCH(",?",C10)),0,1)=0)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F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5:E5">
      <formula1>Названия_организаций</formula1>
    </dataValidation>
  </dataValidations>
  <pageMargins left="0.7" right="0.7" top="0.75" bottom="0.7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1:Y18"/>
  <sheetViews>
    <sheetView zoomScale="85" zoomScaleNormal="85" workbookViewId="0">
      <selection activeCell="I19" sqref="I19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5" max="5" width="11.2851562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9.140625" hidden="1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30" t="s">
        <v>209</v>
      </c>
      <c r="E1" s="130"/>
      <c r="F1" s="130"/>
      <c r="G1" s="130"/>
      <c r="H1" s="130"/>
      <c r="I1" s="130"/>
      <c r="J1" s="130"/>
      <c r="K1" s="130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33" t="s">
        <v>1</v>
      </c>
      <c r="F2" s="134"/>
      <c r="G2" s="90">
        <f>IF(профосмотры!G3&lt;&gt;"",профосмотры!G3,"")</f>
        <v>28</v>
      </c>
      <c r="H2" s="90" t="str">
        <f>IF(профосмотры!H3&lt;&gt;"",профосмотры!H3,"")</f>
        <v>декабря</v>
      </c>
      <c r="I2" s="90">
        <f>IF(профосмотры!I3&lt;&gt;"",профосмотры!I3,"")</f>
        <v>2021</v>
      </c>
      <c r="J2" s="98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80" customFormat="1" ht="24" thickBot="1" x14ac:dyDescent="0.4">
      <c r="B3" s="79"/>
      <c r="C3" s="79"/>
      <c r="D3" s="79"/>
      <c r="E3" s="79"/>
      <c r="F3" s="79"/>
      <c r="G3" s="82" t="s">
        <v>2</v>
      </c>
      <c r="H3" s="82" t="s">
        <v>3</v>
      </c>
      <c r="I3" s="82" t="s">
        <v>4</v>
      </c>
      <c r="J3" s="79"/>
      <c r="K3" s="79"/>
      <c r="L3" s="79"/>
      <c r="M3" s="7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s="6" customFormat="1" ht="21" thickBot="1" x14ac:dyDescent="0.3">
      <c r="B4" s="173" t="str">
        <f>IF(профосмотры!C5&lt;&gt;"",профосмотры!C5,"")</f>
        <v>ГБУЗ «Нехаевская ЦРБ»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01" t="s">
        <v>5</v>
      </c>
      <c r="H5" s="201"/>
      <c r="I5" s="20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4" t="s">
        <v>210</v>
      </c>
      <c r="B7" s="66" t="s">
        <v>68</v>
      </c>
      <c r="C7" s="65" t="s">
        <v>69</v>
      </c>
      <c r="D7" s="65" t="s">
        <v>144</v>
      </c>
      <c r="E7" s="65" t="s">
        <v>71</v>
      </c>
      <c r="F7" s="65" t="s">
        <v>144</v>
      </c>
      <c r="G7" s="65" t="s">
        <v>211</v>
      </c>
      <c r="H7" s="65" t="s">
        <v>212</v>
      </c>
      <c r="I7" s="65" t="s">
        <v>213</v>
      </c>
      <c r="J7" s="65" t="s">
        <v>33</v>
      </c>
      <c r="K7" s="65" t="s">
        <v>34</v>
      </c>
      <c r="L7" s="65" t="s">
        <v>214</v>
      </c>
      <c r="M7" s="65" t="s">
        <v>215</v>
      </c>
      <c r="N7" s="176" t="s">
        <v>15</v>
      </c>
    </row>
    <row r="8" spans="1:25" ht="15" customHeight="1" x14ac:dyDescent="0.25">
      <c r="A8" s="68">
        <v>1</v>
      </c>
      <c r="B8" s="67" t="s">
        <v>216</v>
      </c>
      <c r="C8" s="69" t="s">
        <v>79</v>
      </c>
      <c r="D8" s="68" t="s">
        <v>80</v>
      </c>
      <c r="E8" s="68" t="s">
        <v>81</v>
      </c>
      <c r="F8" s="68" t="s">
        <v>82</v>
      </c>
      <c r="G8" s="68" t="s">
        <v>83</v>
      </c>
      <c r="H8" s="68" t="s">
        <v>84</v>
      </c>
      <c r="I8" s="68" t="s">
        <v>85</v>
      </c>
      <c r="J8" s="68" t="s">
        <v>86</v>
      </c>
      <c r="K8" s="68" t="s">
        <v>87</v>
      </c>
      <c r="L8" s="68" t="s">
        <v>88</v>
      </c>
      <c r="M8" s="68" t="s">
        <v>89</v>
      </c>
      <c r="N8" s="176"/>
    </row>
    <row r="9" spans="1:25" ht="30" x14ac:dyDescent="0.25">
      <c r="A9" s="28" t="s">
        <v>217</v>
      </c>
      <c r="B9" s="28" t="s">
        <v>218</v>
      </c>
      <c r="C9" s="111">
        <v>27</v>
      </c>
      <c r="D9" s="111">
        <v>27</v>
      </c>
      <c r="E9" s="70">
        <f>G9+H9+I9+L9+M9</f>
        <v>27</v>
      </c>
      <c r="F9" s="111">
        <v>27</v>
      </c>
      <c r="G9" s="111"/>
      <c r="H9" s="111">
        <v>22</v>
      </c>
      <c r="I9" s="70">
        <f>J9+K9</f>
        <v>5</v>
      </c>
      <c r="J9" s="111">
        <v>5</v>
      </c>
      <c r="K9" s="111"/>
      <c r="L9" s="111"/>
      <c r="M9" s="111"/>
      <c r="N9" s="20" t="str">
        <f>IF(Q9&gt;0,"гр.6 &gt; гр.5 по строке «"&amp;P9&amp;"»","ОК")</f>
        <v>ОК</v>
      </c>
      <c r="O9" s="76" t="s">
        <v>219</v>
      </c>
      <c r="P9" s="21" t="str">
        <f>IF(Q9&gt;0,INDEX($A$9:$A$13,Q9,1),CHAR(151))</f>
        <v>—</v>
      </c>
      <c r="Q9" s="22">
        <f>IF(ISERROR(MATCH(FALSE,R9:V9,0)),0,MATCH(FALSE,R9:V9,0))</f>
        <v>0</v>
      </c>
      <c r="R9" s="22" t="b">
        <f>$F9&lt;=$E9</f>
        <v>1</v>
      </c>
      <c r="S9" s="22" t="b">
        <f>$F10&lt;=$E10</f>
        <v>1</v>
      </c>
      <c r="T9" s="22" t="b">
        <f>$F11&lt;=$E11</f>
        <v>1</v>
      </c>
      <c r="U9" s="22" t="b">
        <f>$F12&lt;=$E12</f>
        <v>1</v>
      </c>
      <c r="V9" s="22" t="b">
        <f>$F13&lt;=$E13</f>
        <v>1</v>
      </c>
    </row>
    <row r="10" spans="1:25" ht="30" customHeight="1" x14ac:dyDescent="0.25">
      <c r="A10" s="28" t="s">
        <v>220</v>
      </c>
      <c r="B10" s="28" t="s">
        <v>47</v>
      </c>
      <c r="C10" s="111">
        <v>0</v>
      </c>
      <c r="D10" s="111">
        <v>0</v>
      </c>
      <c r="E10" s="70">
        <f>G10+H10+I10+L10+M10</f>
        <v>0</v>
      </c>
      <c r="F10" s="111"/>
      <c r="G10" s="111"/>
      <c r="H10" s="111"/>
      <c r="I10" s="70">
        <f>J10+K10</f>
        <v>0</v>
      </c>
      <c r="J10" s="111"/>
      <c r="K10" s="111"/>
      <c r="L10" s="111"/>
      <c r="M10" s="111"/>
      <c r="N10" s="20" t="str">
        <f>IF(Q10&gt;0,"гр.5 &gt; гр.3 по строке «"&amp;P10&amp;"»","ОК")</f>
        <v>ОК</v>
      </c>
      <c r="O10" s="76" t="s">
        <v>221</v>
      </c>
      <c r="P10" s="21" t="str">
        <f>IF(Q10&gt;0,INDEX($A$9:$A$13,Q10,1),CHAR(151))</f>
        <v>—</v>
      </c>
      <c r="Q10" s="22">
        <f>IF(ISERROR(MATCH(FALSE,R10:V10,0)),0,MATCH(FALSE,R10:V10,0))</f>
        <v>0</v>
      </c>
      <c r="R10" s="22" t="b">
        <f>$E9&lt;=$C9</f>
        <v>1</v>
      </c>
      <c r="S10" s="22" t="b">
        <f>$E9&lt;=$C9</f>
        <v>1</v>
      </c>
      <c r="T10" s="22" t="b">
        <f>$E9&lt;=$C9</f>
        <v>1</v>
      </c>
      <c r="U10" s="22" t="b">
        <f>$E9&lt;=$C9</f>
        <v>1</v>
      </c>
      <c r="V10" s="22" t="b">
        <f>$E9&lt;=$C9</f>
        <v>1</v>
      </c>
    </row>
    <row r="11" spans="1:25" ht="30" customHeight="1" x14ac:dyDescent="0.25">
      <c r="A11" s="28" t="s">
        <v>222</v>
      </c>
      <c r="B11" s="28" t="s">
        <v>50</v>
      </c>
      <c r="C11" s="111">
        <v>10</v>
      </c>
      <c r="D11" s="111">
        <v>10</v>
      </c>
      <c r="E11" s="70">
        <f>G11+H11+I11+L11+M11</f>
        <v>10</v>
      </c>
      <c r="F11" s="111">
        <v>10</v>
      </c>
      <c r="G11" s="111"/>
      <c r="H11" s="111">
        <v>9</v>
      </c>
      <c r="I11" s="70">
        <f>J11+K11</f>
        <v>1</v>
      </c>
      <c r="J11" s="111">
        <v>1</v>
      </c>
      <c r="K11" s="111"/>
      <c r="L11" s="111"/>
      <c r="M11" s="111"/>
      <c r="N11" s="20" t="str">
        <f>IF(Q11&gt;0,"гр.4 &gt; гр.3 по строке «"&amp;P11&amp;"»","ОК")</f>
        <v>ОК</v>
      </c>
      <c r="O11" s="76" t="s">
        <v>223</v>
      </c>
      <c r="P11" s="21" t="str">
        <f>IF(Q11&gt;0,INDEX($A$9:$A$13,Q11,1),CHAR(151))</f>
        <v>—</v>
      </c>
      <c r="Q11" s="22">
        <f>IF(ISERROR(MATCH(FALSE,R11:V11,0)),0,MATCH(FALSE,R11:V11,0))</f>
        <v>0</v>
      </c>
      <c r="R11" s="22" t="b">
        <f>$D9&lt;=$C9</f>
        <v>1</v>
      </c>
      <c r="S11" s="22" t="b">
        <f>$D10&lt;=$C10</f>
        <v>1</v>
      </c>
      <c r="T11" s="22" t="b">
        <f>$D11&lt;=$C11</f>
        <v>1</v>
      </c>
      <c r="U11" s="22" t="b">
        <f>$D12&lt;=$C12</f>
        <v>1</v>
      </c>
      <c r="V11" s="22" t="b">
        <f>$D13&lt;=$C13</f>
        <v>1</v>
      </c>
    </row>
    <row r="12" spans="1:25" ht="30" customHeight="1" x14ac:dyDescent="0.25">
      <c r="A12" s="28" t="s">
        <v>224</v>
      </c>
      <c r="B12" s="28" t="s">
        <v>52</v>
      </c>
      <c r="C12" s="111">
        <v>5</v>
      </c>
      <c r="D12" s="111">
        <v>5</v>
      </c>
      <c r="E12" s="70">
        <f>G12+H12+I12+L12+M12</f>
        <v>5</v>
      </c>
      <c r="F12" s="111">
        <v>5</v>
      </c>
      <c r="G12" s="111"/>
      <c r="H12" s="111">
        <v>4</v>
      </c>
      <c r="I12" s="70">
        <f>J12+K12</f>
        <v>1</v>
      </c>
      <c r="J12" s="111">
        <v>1</v>
      </c>
      <c r="K12" s="111"/>
      <c r="L12" s="111"/>
      <c r="M12" s="111"/>
      <c r="R12" s="22"/>
    </row>
    <row r="13" spans="1:25" ht="30" customHeight="1" x14ac:dyDescent="0.25">
      <c r="A13" s="28" t="s">
        <v>225</v>
      </c>
      <c r="B13" s="28" t="s">
        <v>94</v>
      </c>
      <c r="C13" s="111">
        <v>37</v>
      </c>
      <c r="D13" s="111">
        <v>37</v>
      </c>
      <c r="E13" s="70">
        <f>G13+H13+I13+L13+M13</f>
        <v>37</v>
      </c>
      <c r="F13" s="111">
        <v>37</v>
      </c>
      <c r="G13" s="111"/>
      <c r="H13" s="111">
        <v>31</v>
      </c>
      <c r="I13" s="70">
        <f>J13+K13</f>
        <v>6</v>
      </c>
      <c r="J13" s="111">
        <v>6</v>
      </c>
      <c r="K13" s="111"/>
      <c r="L13" s="111"/>
      <c r="M13" s="111"/>
      <c r="R13" s="22"/>
    </row>
    <row r="14" spans="1:25" x14ac:dyDescent="0.25">
      <c r="R14" s="22"/>
    </row>
    <row r="15" spans="1:25" ht="15.75" thickBot="1" x14ac:dyDescent="0.3">
      <c r="R15" s="22"/>
    </row>
    <row r="16" spans="1:25" ht="15.75" x14ac:dyDescent="0.25">
      <c r="B16" s="162" t="s">
        <v>61</v>
      </c>
      <c r="C16" s="163"/>
      <c r="D16" s="192" t="str">
        <f>IF(профосмотры!E21&lt;&gt;"",профосмотры!E21,"")</f>
        <v>Тридубова Надежда Александровна</v>
      </c>
      <c r="E16" s="193"/>
      <c r="F16" s="194"/>
    </row>
    <row r="17" spans="2:6" ht="15.75" x14ac:dyDescent="0.25">
      <c r="B17" s="156" t="s">
        <v>63</v>
      </c>
      <c r="C17" s="157"/>
      <c r="D17" s="179" t="str">
        <f>IF(профосмотры!E22&lt;&gt;"",профосмотры!E22,"")</f>
        <v>Беспалов Владислав Владимирович</v>
      </c>
      <c r="E17" s="180"/>
      <c r="F17" s="181"/>
    </row>
    <row r="18" spans="2:6" ht="16.5" thickBot="1" x14ac:dyDescent="0.3">
      <c r="B18" s="147" t="s">
        <v>65</v>
      </c>
      <c r="C18" s="148"/>
      <c r="D18" s="182">
        <f>IF(профосмотры!E23&lt;&gt;"",профосмотры!E23,"")</f>
        <v>89047542538</v>
      </c>
      <c r="E18" s="183"/>
      <c r="F18" s="184"/>
    </row>
  </sheetData>
  <sheetProtection password="DB70" sheet="1" objects="1" scenarios="1" autoFilter="0"/>
  <mergeCells count="11">
    <mergeCell ref="G5:I5"/>
    <mergeCell ref="D1:K1"/>
    <mergeCell ref="E2:F2"/>
    <mergeCell ref="B4:M4"/>
    <mergeCell ref="N7:N8"/>
    <mergeCell ref="B18:C18"/>
    <mergeCell ref="D18:F18"/>
    <mergeCell ref="B16:C16"/>
    <mergeCell ref="D16:F16"/>
    <mergeCell ref="B17:C17"/>
    <mergeCell ref="D17:F17"/>
  </mergeCells>
  <conditionalFormatting sqref="N9">
    <cfRule type="expression" dxfId="5" priority="5" stopIfTrue="1">
      <formula>N9&lt;&gt;"ОК"</formula>
    </cfRule>
  </conditionalFormatting>
  <conditionalFormatting sqref="N10">
    <cfRule type="expression" dxfId="4" priority="4" stopIfTrue="1">
      <formula>N10&lt;&gt;"ОК"</formula>
    </cfRule>
  </conditionalFormatting>
  <conditionalFormatting sqref="N11">
    <cfRule type="expression" dxfId="3" priority="3" stopIfTrue="1">
      <formula>N11&lt;&gt;"ОК"</formula>
    </cfRule>
  </conditionalFormatting>
  <conditionalFormatting sqref="B3">
    <cfRule type="expression" dxfId="2" priority="1">
      <formula>ISERROR($A$1)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F9:H13 J9:M13 C9:D13">
      <formula1>AND($G$2&lt;&gt;0,$H$2&lt;&gt;0,$I$2&lt;&gt;0,$B$4&lt;&gt;0,$D$16&lt;&gt;0,$D$17&lt;&gt;0,$D$18&lt;&gt;0,ISNUMBER(C9),IF(ISERROR(SEARCH(",?",C9)),0,1)=0)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0000"/>
    <pageSetUpPr fitToPage="1"/>
  </sheetPr>
  <dimension ref="A1:Y18"/>
  <sheetViews>
    <sheetView workbookViewId="0">
      <selection activeCell="C9" sqref="C9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30" t="s">
        <v>226</v>
      </c>
      <c r="E1" s="130"/>
      <c r="F1" s="130"/>
      <c r="G1" s="130"/>
      <c r="H1" s="130"/>
      <c r="I1" s="130"/>
      <c r="J1" s="130"/>
      <c r="K1" s="130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33" t="s">
        <v>1</v>
      </c>
      <c r="F2" s="134"/>
      <c r="G2" s="90">
        <f>IF(профосмотры!G3&lt;&gt;"",профосмотры!G3,"")</f>
        <v>28</v>
      </c>
      <c r="H2" s="90" t="str">
        <f>IF(профосмотры!H3&lt;&gt;"",профосмотры!H3,"")</f>
        <v>декабря</v>
      </c>
      <c r="I2" s="90">
        <f>IF(профосмотры!I3&lt;&gt;"",профосмотры!I3,"")</f>
        <v>2021</v>
      </c>
      <c r="J2" s="98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80" customFormat="1" ht="24" thickBot="1" x14ac:dyDescent="0.4">
      <c r="B3" s="79"/>
      <c r="C3" s="79"/>
      <c r="D3" s="79"/>
      <c r="E3" s="79"/>
      <c r="F3" s="79"/>
      <c r="G3" s="82" t="s">
        <v>2</v>
      </c>
      <c r="H3" s="82" t="s">
        <v>3</v>
      </c>
      <c r="I3" s="82" t="s">
        <v>4</v>
      </c>
      <c r="J3" s="79"/>
      <c r="K3" s="79"/>
      <c r="L3" s="79"/>
      <c r="M3" s="7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s="6" customFormat="1" ht="21" thickBot="1" x14ac:dyDescent="0.3">
      <c r="B4" s="173" t="str">
        <f>IF(профосмотры!C5&lt;&gt;"",профосмотры!C5,"")</f>
        <v>ГБУЗ «Нехаевская ЦРБ»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15.75" x14ac:dyDescent="0.25">
      <c r="B5" s="4"/>
      <c r="C5" s="4"/>
      <c r="D5" s="4"/>
      <c r="E5" s="4"/>
      <c r="F5" s="4"/>
      <c r="G5" s="201" t="s">
        <v>5</v>
      </c>
      <c r="H5" s="201"/>
      <c r="I5" s="20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90" x14ac:dyDescent="0.25">
      <c r="A7" s="65" t="s">
        <v>210</v>
      </c>
      <c r="B7" s="66" t="s">
        <v>68</v>
      </c>
      <c r="C7" s="65" t="s">
        <v>69</v>
      </c>
      <c r="D7" s="65" t="s">
        <v>144</v>
      </c>
      <c r="E7" s="65" t="s">
        <v>71</v>
      </c>
      <c r="F7" s="65" t="s">
        <v>144</v>
      </c>
      <c r="G7" s="65" t="s">
        <v>211</v>
      </c>
      <c r="H7" s="65" t="s">
        <v>212</v>
      </c>
      <c r="I7" s="65" t="s">
        <v>213</v>
      </c>
      <c r="J7" s="65" t="s">
        <v>33</v>
      </c>
      <c r="K7" s="65" t="s">
        <v>34</v>
      </c>
      <c r="L7" s="65" t="s">
        <v>214</v>
      </c>
      <c r="M7" s="65" t="s">
        <v>215</v>
      </c>
    </row>
    <row r="8" spans="1:25" x14ac:dyDescent="0.25">
      <c r="A8" s="68">
        <v>1</v>
      </c>
      <c r="B8" s="67" t="s">
        <v>227</v>
      </c>
      <c r="C8" s="68" t="s">
        <v>79</v>
      </c>
      <c r="D8" s="68" t="s">
        <v>80</v>
      </c>
      <c r="E8" s="68" t="s">
        <v>81</v>
      </c>
      <c r="F8" s="68" t="s">
        <v>82</v>
      </c>
      <c r="G8" s="68" t="s">
        <v>83</v>
      </c>
      <c r="H8" s="68" t="s">
        <v>84</v>
      </c>
      <c r="I8" s="68" t="s">
        <v>85</v>
      </c>
      <c r="J8" s="68" t="s">
        <v>86</v>
      </c>
      <c r="K8" s="68" t="s">
        <v>87</v>
      </c>
      <c r="L8" s="68" t="s">
        <v>88</v>
      </c>
      <c r="M8" s="68" t="s">
        <v>89</v>
      </c>
    </row>
    <row r="9" spans="1:25" ht="30" x14ac:dyDescent="0.25">
      <c r="A9" s="28" t="s">
        <v>217</v>
      </c>
      <c r="B9" s="28" t="s">
        <v>218</v>
      </c>
      <c r="C9" s="71">
        <f>профосмотры!C27+'2510 -Дети сироты'!C9</f>
        <v>1437</v>
      </c>
      <c r="D9" s="71">
        <f>профосмотры!D27+'2510 -Дети сироты'!D9</f>
        <v>1437</v>
      </c>
      <c r="E9" s="71">
        <f>профосмотры!E27+'2510 -Дети сироты'!E9</f>
        <v>1437</v>
      </c>
      <c r="F9" s="71">
        <f>профосмотры!F27+'2510 -Дети сироты'!F9</f>
        <v>1437</v>
      </c>
      <c r="G9" s="71">
        <f>профосмотры!G27+'2510 -Дети сироты'!G9</f>
        <v>17</v>
      </c>
      <c r="H9" s="71">
        <f>профосмотры!H27+'2510 -Дети сироты'!H9</f>
        <v>1365</v>
      </c>
      <c r="I9" s="71">
        <f>профосмотры!I27+'2510 -Дети сироты'!I9</f>
        <v>39</v>
      </c>
      <c r="J9" s="71">
        <f>профосмотры!J27+'2510 -Дети сироты'!J9</f>
        <v>39</v>
      </c>
      <c r="K9" s="71">
        <f>профосмотры!K27+'2510 -Дети сироты'!K9</f>
        <v>0</v>
      </c>
      <c r="L9" s="71">
        <f>профосмотры!L27+'2510 -Дети сироты'!L9</f>
        <v>14</v>
      </c>
      <c r="M9" s="71">
        <f>профосмотры!M27+'2510 -Дети сироты'!M9</f>
        <v>2</v>
      </c>
    </row>
    <row r="10" spans="1:25" x14ac:dyDescent="0.25">
      <c r="A10" s="28" t="s">
        <v>220</v>
      </c>
      <c r="B10" s="28" t="s">
        <v>47</v>
      </c>
      <c r="C10" s="71">
        <f>профосмотры!C28+'2510 -Дети сироты'!C10</f>
        <v>60</v>
      </c>
      <c r="D10" s="71">
        <f>профосмотры!D28+'2510 -Дети сироты'!D10</f>
        <v>60</v>
      </c>
      <c r="E10" s="71">
        <f>профосмотры!E28+'2510 -Дети сироты'!E10</f>
        <v>60</v>
      </c>
      <c r="F10" s="71">
        <f>профосмотры!F28+'2510 -Дети сироты'!F10</f>
        <v>60</v>
      </c>
      <c r="G10" s="71">
        <f>профосмотры!G28+'2510 -Дети сироты'!G10</f>
        <v>0</v>
      </c>
      <c r="H10" s="71">
        <f>профосмотры!H28+'2510 -Дети сироты'!H10</f>
        <v>60</v>
      </c>
      <c r="I10" s="71">
        <f>профосмотры!I28+'2510 -Дети сироты'!I10</f>
        <v>0</v>
      </c>
      <c r="J10" s="71">
        <f>профосмотры!J28+'2510 -Дети сироты'!J10</f>
        <v>0</v>
      </c>
      <c r="K10" s="71">
        <f>профосмотры!K28+'2510 -Дети сироты'!K10</f>
        <v>0</v>
      </c>
      <c r="L10" s="71">
        <f>профосмотры!L28+'2510 -Дети сироты'!L10</f>
        <v>0</v>
      </c>
      <c r="M10" s="71">
        <f>профосмотры!M28+'2510 -Дети сироты'!M10</f>
        <v>0</v>
      </c>
    </row>
    <row r="11" spans="1:25" x14ac:dyDescent="0.25">
      <c r="A11" s="28" t="s">
        <v>222</v>
      </c>
      <c r="B11" s="28" t="s">
        <v>50</v>
      </c>
      <c r="C11" s="71">
        <f>профосмотры!C29+'2510 -Дети сироты'!C11</f>
        <v>371</v>
      </c>
      <c r="D11" s="71">
        <f>профосмотры!D29+'2510 -Дети сироты'!D11</f>
        <v>371</v>
      </c>
      <c r="E11" s="71">
        <f>профосмотры!E29+'2510 -Дети сироты'!E11</f>
        <v>371</v>
      </c>
      <c r="F11" s="71">
        <f>профосмотры!F29+'2510 -Дети сироты'!F11</f>
        <v>371</v>
      </c>
      <c r="G11" s="71">
        <f>профосмотры!G29+'2510 -Дети сироты'!G11</f>
        <v>2</v>
      </c>
      <c r="H11" s="71">
        <f>профосмотры!H29+'2510 -Дети сироты'!H11</f>
        <v>349</v>
      </c>
      <c r="I11" s="71">
        <f>профосмотры!I29+'2510 -Дети сироты'!I11</f>
        <v>16</v>
      </c>
      <c r="J11" s="71">
        <f>профосмотры!J29+'2510 -Дети сироты'!J11</f>
        <v>16</v>
      </c>
      <c r="K11" s="71">
        <f>профосмотры!K29+'2510 -Дети сироты'!K11</f>
        <v>0</v>
      </c>
      <c r="L11" s="71">
        <f>профосмотры!L29+'2510 -Дети сироты'!L11</f>
        <v>4</v>
      </c>
      <c r="M11" s="71">
        <f>профосмотры!M29+'2510 -Дети сироты'!M11</f>
        <v>0</v>
      </c>
    </row>
    <row r="12" spans="1:25" ht="30" x14ac:dyDescent="0.25">
      <c r="A12" s="28" t="s">
        <v>224</v>
      </c>
      <c r="B12" s="28" t="s">
        <v>52</v>
      </c>
      <c r="C12" s="71">
        <f>профосмотры!C30+'2510 -Дети сироты'!C12</f>
        <v>187</v>
      </c>
      <c r="D12" s="71">
        <f>профосмотры!D30+'2510 -Дети сироты'!D12</f>
        <v>187</v>
      </c>
      <c r="E12" s="71">
        <f>профосмотры!E30+'2510 -Дети сироты'!E12</f>
        <v>187</v>
      </c>
      <c r="F12" s="71">
        <f>профосмотры!F30+'2510 -Дети сироты'!F12</f>
        <v>187</v>
      </c>
      <c r="G12" s="71">
        <f>профосмотры!G30+'2510 -Дети сироты'!G12</f>
        <v>1</v>
      </c>
      <c r="H12" s="71">
        <f>профосмотры!H30+'2510 -Дети сироты'!H12</f>
        <v>175</v>
      </c>
      <c r="I12" s="71">
        <f>профосмотры!I30+'2510 -Дети сироты'!I12</f>
        <v>8</v>
      </c>
      <c r="J12" s="71">
        <f>профосмотры!J30+'2510 -Дети сироты'!J12</f>
        <v>8</v>
      </c>
      <c r="K12" s="71">
        <f>профосмотры!K30+'2510 -Дети сироты'!K12</f>
        <v>0</v>
      </c>
      <c r="L12" s="71">
        <f>профосмотры!L30+'2510 -Дети сироты'!L12</f>
        <v>3</v>
      </c>
      <c r="M12" s="71">
        <f>профосмотры!M30+'2510 -Дети сироты'!M12</f>
        <v>0</v>
      </c>
    </row>
    <row r="13" spans="1:25" ht="30" x14ac:dyDescent="0.25">
      <c r="A13" s="28" t="s">
        <v>225</v>
      </c>
      <c r="B13" s="28" t="s">
        <v>94</v>
      </c>
      <c r="C13" s="71">
        <f>профосмотры!C31+'2510 -Дети сироты'!C13</f>
        <v>1510</v>
      </c>
      <c r="D13" s="71">
        <f>профосмотры!D31+'2510 -Дети сироты'!D13</f>
        <v>1510</v>
      </c>
      <c r="E13" s="71">
        <f>профосмотры!E31+'2510 -Дети сироты'!E13</f>
        <v>1510</v>
      </c>
      <c r="F13" s="71">
        <f>профосмотры!F31+'2510 -Дети сироты'!F13</f>
        <v>1510</v>
      </c>
      <c r="G13" s="71">
        <f>профосмотры!G31+'2510 -Дети сироты'!G13</f>
        <v>11</v>
      </c>
      <c r="H13" s="71">
        <f>профосмотры!H31+'2510 -Дети сироты'!H13</f>
        <v>1428</v>
      </c>
      <c r="I13" s="71">
        <f>профосмотры!I31+'2510 -Дети сироты'!I13</f>
        <v>54</v>
      </c>
      <c r="J13" s="71">
        <f>профосмотры!J31+'2510 -Дети сироты'!J13</f>
        <v>54</v>
      </c>
      <c r="K13" s="71">
        <f>профосмотры!K31+'2510 -Дети сироты'!K13</f>
        <v>0</v>
      </c>
      <c r="L13" s="71">
        <f>профосмотры!L31+'2510 -Дети сироты'!L13</f>
        <v>17</v>
      </c>
      <c r="M13" s="71">
        <f>профосмотры!M31+'2510 -Дети сироты'!M13</f>
        <v>0</v>
      </c>
    </row>
    <row r="15" spans="1:25" ht="15.75" thickBot="1" x14ac:dyDescent="0.3"/>
    <row r="16" spans="1:25" ht="15.75" x14ac:dyDescent="0.25">
      <c r="B16" s="162" t="s">
        <v>61</v>
      </c>
      <c r="C16" s="163"/>
      <c r="D16" s="192" t="str">
        <f>IF(профосмотры!E21&lt;&gt;"",профосмотры!E21,"")</f>
        <v>Тридубова Надежда Александровна</v>
      </c>
      <c r="E16" s="193"/>
      <c r="F16" s="194"/>
    </row>
    <row r="17" spans="2:6" ht="15.75" x14ac:dyDescent="0.25">
      <c r="B17" s="156" t="s">
        <v>63</v>
      </c>
      <c r="C17" s="157"/>
      <c r="D17" s="179" t="str">
        <f>IF(профосмотры!E22&lt;&gt;"",профосмотры!E22,"")</f>
        <v>Беспалов Владислав Владимирович</v>
      </c>
      <c r="E17" s="180"/>
      <c r="F17" s="181"/>
    </row>
    <row r="18" spans="2:6" ht="16.5" thickBot="1" x14ac:dyDescent="0.3">
      <c r="B18" s="147" t="s">
        <v>65</v>
      </c>
      <c r="C18" s="148"/>
      <c r="D18" s="182">
        <f>IF(профосмотры!E23&lt;&gt;"",профосмотры!E23,"")</f>
        <v>89047542538</v>
      </c>
      <c r="E18" s="183"/>
      <c r="F18" s="184"/>
    </row>
  </sheetData>
  <sheetProtection password="DB70" sheet="1" objects="1" scenarios="1" autoFilter="0"/>
  <mergeCells count="10">
    <mergeCell ref="D1:K1"/>
    <mergeCell ref="E2:F2"/>
    <mergeCell ref="B4:M4"/>
    <mergeCell ref="B18:C18"/>
    <mergeCell ref="D18:F18"/>
    <mergeCell ref="G5:I5"/>
    <mergeCell ref="B16:C16"/>
    <mergeCell ref="D16:F16"/>
    <mergeCell ref="B17:C17"/>
    <mergeCell ref="D17:F17"/>
  </mergeCells>
  <conditionalFormatting sqref="B3">
    <cfRule type="expression" dxfId="1" priority="1">
      <formula>ISERROR($A$1)</formula>
    </cfRule>
  </conditionalFormatting>
  <dataValidations count="4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7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Y16"/>
  <sheetViews>
    <sheetView workbookViewId="0">
      <selection activeCell="C9" sqref="C9"/>
    </sheetView>
  </sheetViews>
  <sheetFormatPr defaultRowHeight="15" x14ac:dyDescent="0.25"/>
  <cols>
    <col min="2" max="2" width="28.28515625" customWidth="1"/>
    <col min="3" max="8" width="15.42578125" customWidth="1"/>
    <col min="9" max="9" width="11" customWidth="1"/>
  </cols>
  <sheetData>
    <row r="1" spans="1:25" s="6" customFormat="1" ht="45" customHeight="1" x14ac:dyDescent="0.3">
      <c r="A1" s="7" t="str">
        <f>IF(B1=TRUE,DATEVALUE(G2&amp;"."&amp;VLOOKUP(H2,Help!$H$1:$I$12,2,0)&amp;"."&amp;J2),"22.07.1966")</f>
        <v>22.07.1966</v>
      </c>
      <c r="B1" s="7" t="b">
        <f>AND(G2&lt;&gt;"",H2&lt;&gt;"",J2&lt;&gt;"")</f>
        <v>0</v>
      </c>
      <c r="C1" s="1"/>
      <c r="D1" s="130" t="s">
        <v>228</v>
      </c>
      <c r="E1" s="130"/>
      <c r="F1" s="130"/>
      <c r="G1" s="130"/>
      <c r="H1" s="130"/>
      <c r="I1" s="130"/>
      <c r="J1" s="130"/>
      <c r="K1" s="130"/>
      <c r="L1" s="2"/>
      <c r="M1" s="1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5" s="6" customFormat="1" ht="18.75" x14ac:dyDescent="0.3">
      <c r="B2" s="1"/>
      <c r="C2" s="1"/>
      <c r="D2" s="5"/>
      <c r="E2" s="133" t="s">
        <v>1</v>
      </c>
      <c r="F2" s="134"/>
      <c r="G2" s="90">
        <f>IF(профосмотры!G3&lt;&gt;"",профосмотры!G3,"")</f>
        <v>28</v>
      </c>
      <c r="H2" s="90" t="str">
        <f>IF(профосмотры!H3&lt;&gt;"",профосмотры!H3,"")</f>
        <v>декабря</v>
      </c>
      <c r="I2" s="90">
        <f>IF(профосмотры!I3&lt;&gt;"",профосмотры!I3,"")</f>
        <v>2021</v>
      </c>
      <c r="J2" s="98"/>
      <c r="K2" s="5"/>
      <c r="L2" s="2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s="80" customFormat="1" ht="24" thickBot="1" x14ac:dyDescent="0.4">
      <c r="B3" s="79"/>
      <c r="C3" s="79"/>
      <c r="D3" s="79"/>
      <c r="E3" s="79"/>
      <c r="F3" s="79"/>
      <c r="G3" s="82" t="s">
        <v>2</v>
      </c>
      <c r="H3" s="82" t="s">
        <v>3</v>
      </c>
      <c r="I3" s="82" t="s">
        <v>4</v>
      </c>
      <c r="J3" s="79"/>
      <c r="K3" s="79"/>
      <c r="L3" s="79"/>
      <c r="M3" s="7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s="6" customFormat="1" ht="21" customHeight="1" thickBot="1" x14ac:dyDescent="0.3">
      <c r="B4" s="173" t="str">
        <f>IF(профосмотры!C5&lt;&gt;"",профосмотры!C5,"")</f>
        <v>ГБУЗ «Нехаевская ЦРБ»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s="6" customFormat="1" ht="24.75" customHeight="1" x14ac:dyDescent="0.25">
      <c r="B5" s="198" t="s">
        <v>5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7" spans="1:25" ht="60" x14ac:dyDescent="0.25">
      <c r="A7" s="28"/>
      <c r="B7" s="34" t="s">
        <v>143</v>
      </c>
      <c r="C7" s="28" t="s">
        <v>69</v>
      </c>
      <c r="D7" s="28" t="s">
        <v>144</v>
      </c>
      <c r="E7" s="28" t="s">
        <v>71</v>
      </c>
      <c r="F7" s="28" t="s">
        <v>144</v>
      </c>
      <c r="G7" s="28" t="s">
        <v>145</v>
      </c>
      <c r="H7" s="28" t="s">
        <v>146</v>
      </c>
    </row>
    <row r="8" spans="1:25" x14ac:dyDescent="0.25">
      <c r="A8" s="28" t="s">
        <v>148</v>
      </c>
      <c r="B8" s="92" t="s">
        <v>227</v>
      </c>
      <c r="C8" s="68" t="s">
        <v>79</v>
      </c>
      <c r="D8" s="68" t="s">
        <v>80</v>
      </c>
      <c r="E8" s="68" t="s">
        <v>81</v>
      </c>
      <c r="F8" s="68" t="s">
        <v>82</v>
      </c>
      <c r="G8" s="68" t="s">
        <v>83</v>
      </c>
      <c r="H8" s="68" t="s">
        <v>84</v>
      </c>
    </row>
    <row r="9" spans="1:25" x14ac:dyDescent="0.25">
      <c r="A9" s="28" t="s">
        <v>217</v>
      </c>
      <c r="B9" s="28" t="s">
        <v>150</v>
      </c>
      <c r="C9" s="71">
        <f>'15-17 лет'!B31</f>
        <v>361</v>
      </c>
      <c r="D9" s="71">
        <f>'15-17 лет'!C31</f>
        <v>361</v>
      </c>
      <c r="E9" s="71">
        <f>'15-17 лет'!D31</f>
        <v>361</v>
      </c>
      <c r="F9" s="71">
        <f>'15-17 лет'!E31</f>
        <v>361</v>
      </c>
      <c r="G9" s="71">
        <f>'15-17 лет'!F31</f>
        <v>0</v>
      </c>
      <c r="H9" s="71">
        <f>'15-17 лет'!G31</f>
        <v>0</v>
      </c>
    </row>
    <row r="10" spans="1:25" ht="30" x14ac:dyDescent="0.25">
      <c r="A10" s="28" t="s">
        <v>229</v>
      </c>
      <c r="B10" s="28" t="s">
        <v>152</v>
      </c>
      <c r="C10" s="71">
        <f>'15-17 лет'!B32</f>
        <v>182</v>
      </c>
      <c r="D10" s="71">
        <f>'15-17 лет'!C32</f>
        <v>182</v>
      </c>
      <c r="E10" s="71">
        <f>'15-17 лет'!D32</f>
        <v>182</v>
      </c>
      <c r="F10" s="71">
        <f>'15-17 лет'!E32</f>
        <v>182</v>
      </c>
      <c r="G10" s="71">
        <f>'15-17 лет'!F32</f>
        <v>0</v>
      </c>
      <c r="H10" s="71">
        <f>'15-17 лет'!G32</f>
        <v>0</v>
      </c>
    </row>
    <row r="11" spans="1:25" ht="30" x14ac:dyDescent="0.25">
      <c r="A11" s="28" t="s">
        <v>230</v>
      </c>
      <c r="B11" s="28" t="s">
        <v>154</v>
      </c>
      <c r="C11" s="71">
        <f>'15-17 лет'!B33</f>
        <v>179</v>
      </c>
      <c r="D11" s="71">
        <f>'15-17 лет'!C33</f>
        <v>179</v>
      </c>
      <c r="E11" s="71">
        <f>'15-17 лет'!D33</f>
        <v>179</v>
      </c>
      <c r="F11" s="71">
        <f>'15-17 лет'!E33</f>
        <v>179</v>
      </c>
      <c r="G11" s="71">
        <f>'15-17 лет'!F33</f>
        <v>0</v>
      </c>
      <c r="H11" s="71">
        <f>'15-17 лет'!G33</f>
        <v>0</v>
      </c>
    </row>
    <row r="13" spans="1:25" ht="15.75" thickBot="1" x14ac:dyDescent="0.3"/>
    <row r="14" spans="1:25" ht="15.75" x14ac:dyDescent="0.25">
      <c r="B14" s="162" t="s">
        <v>61</v>
      </c>
      <c r="C14" s="163"/>
      <c r="D14" s="192" t="str">
        <f>IF(профосмотры!E21&lt;&gt;"",профосмотры!E21,"")</f>
        <v>Тридубова Надежда Александровна</v>
      </c>
      <c r="E14" s="193"/>
      <c r="F14" s="194"/>
    </row>
    <row r="15" spans="1:25" ht="15.75" x14ac:dyDescent="0.25">
      <c r="B15" s="156" t="s">
        <v>63</v>
      </c>
      <c r="C15" s="157"/>
      <c r="D15" s="179" t="str">
        <f>IF(профосмотры!E22&lt;&gt;"",профосмотры!E22,"")</f>
        <v>Беспалов Владислав Владимирович</v>
      </c>
      <c r="E15" s="180"/>
      <c r="F15" s="181"/>
    </row>
    <row r="16" spans="1:25" ht="16.5" thickBot="1" x14ac:dyDescent="0.3">
      <c r="B16" s="147" t="s">
        <v>65</v>
      </c>
      <c r="C16" s="148"/>
      <c r="D16" s="182">
        <f>IF(профосмотры!E23&lt;&gt;"",профосмотры!E23,"")</f>
        <v>89047542538</v>
      </c>
      <c r="E16" s="183"/>
      <c r="F16" s="184"/>
    </row>
  </sheetData>
  <sheetProtection password="DB70" sheet="1" objects="1" scenarios="1" autoFilter="0"/>
  <mergeCells count="10">
    <mergeCell ref="B15:C15"/>
    <mergeCell ref="D15:F15"/>
    <mergeCell ref="B16:C16"/>
    <mergeCell ref="D16:F16"/>
    <mergeCell ref="B5:M5"/>
    <mergeCell ref="D1:K1"/>
    <mergeCell ref="E2:F2"/>
    <mergeCell ref="B4:M4"/>
    <mergeCell ref="B14:C14"/>
    <mergeCell ref="D14:F14"/>
  </mergeCells>
  <conditionalFormatting sqref="B3">
    <cfRule type="expression" dxfId="0" priority="1">
      <formula>ISERROR($A$1)</formula>
    </cfRule>
  </conditionalFormatting>
  <dataValidations count="4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2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2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2">
      <formula1>Годы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B4:M4">
      <formula1>Названия_организаций</formula1>
    </dataValidation>
  </dataValidations>
  <pageMargins left="0.7" right="0.7" top="0.75" bottom="0.75" header="0.3" footer="0.3"/>
  <pageSetup paperSize="9" scale="7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FF00"/>
  </sheetPr>
  <dimension ref="A1:L46"/>
  <sheetViews>
    <sheetView workbookViewId="0">
      <selection activeCell="L1" sqref="L1"/>
    </sheetView>
  </sheetViews>
  <sheetFormatPr defaultRowHeight="15" x14ac:dyDescent="0.25"/>
  <sheetData>
    <row r="1" spans="1:12" x14ac:dyDescent="0.25">
      <c r="A1" t="s">
        <v>231</v>
      </c>
      <c r="G1">
        <v>1</v>
      </c>
      <c r="H1" t="s">
        <v>232</v>
      </c>
      <c r="I1">
        <v>1</v>
      </c>
      <c r="J1">
        <v>2020</v>
      </c>
      <c r="L1" t="s">
        <v>289</v>
      </c>
    </row>
    <row r="2" spans="1:12" x14ac:dyDescent="0.25">
      <c r="A2" t="s">
        <v>233</v>
      </c>
      <c r="G2">
        <v>2</v>
      </c>
      <c r="H2" t="s">
        <v>234</v>
      </c>
      <c r="I2">
        <v>2</v>
      </c>
      <c r="J2">
        <v>2021</v>
      </c>
    </row>
    <row r="3" spans="1:12" x14ac:dyDescent="0.25">
      <c r="A3" t="s">
        <v>235</v>
      </c>
      <c r="G3">
        <v>3</v>
      </c>
      <c r="H3" t="s">
        <v>236</v>
      </c>
      <c r="I3">
        <v>3</v>
      </c>
      <c r="J3">
        <v>2022</v>
      </c>
    </row>
    <row r="4" spans="1:12" x14ac:dyDescent="0.25">
      <c r="A4" t="s">
        <v>237</v>
      </c>
      <c r="G4">
        <v>4</v>
      </c>
      <c r="H4" t="s">
        <v>238</v>
      </c>
      <c r="I4">
        <v>4</v>
      </c>
      <c r="J4">
        <v>2023</v>
      </c>
    </row>
    <row r="5" spans="1:12" x14ac:dyDescent="0.25">
      <c r="A5" t="s">
        <v>239</v>
      </c>
      <c r="G5">
        <v>5</v>
      </c>
      <c r="H5" t="s">
        <v>240</v>
      </c>
      <c r="I5">
        <v>5</v>
      </c>
      <c r="J5">
        <v>2024</v>
      </c>
    </row>
    <row r="6" spans="1:12" x14ac:dyDescent="0.25">
      <c r="A6" t="s">
        <v>241</v>
      </c>
      <c r="G6">
        <v>6</v>
      </c>
      <c r="H6" t="s">
        <v>242</v>
      </c>
      <c r="I6">
        <v>6</v>
      </c>
      <c r="J6">
        <v>2025</v>
      </c>
    </row>
    <row r="7" spans="1:12" x14ac:dyDescent="0.25">
      <c r="A7" t="s">
        <v>243</v>
      </c>
      <c r="G7">
        <v>7</v>
      </c>
      <c r="H7" t="s">
        <v>244</v>
      </c>
      <c r="I7">
        <v>7</v>
      </c>
      <c r="J7">
        <v>2026</v>
      </c>
    </row>
    <row r="8" spans="1:12" x14ac:dyDescent="0.25">
      <c r="A8" t="s">
        <v>245</v>
      </c>
      <c r="G8">
        <v>8</v>
      </c>
      <c r="H8" t="s">
        <v>246</v>
      </c>
      <c r="I8">
        <v>8</v>
      </c>
      <c r="J8">
        <v>2027</v>
      </c>
    </row>
    <row r="9" spans="1:12" x14ac:dyDescent="0.25">
      <c r="A9" t="s">
        <v>247</v>
      </c>
      <c r="G9">
        <v>9</v>
      </c>
      <c r="H9" t="s">
        <v>248</v>
      </c>
      <c r="I9">
        <v>9</v>
      </c>
      <c r="J9">
        <v>2028</v>
      </c>
    </row>
    <row r="10" spans="1:12" x14ac:dyDescent="0.25">
      <c r="A10" t="s">
        <v>249</v>
      </c>
      <c r="G10">
        <v>10</v>
      </c>
      <c r="H10" t="s">
        <v>250</v>
      </c>
      <c r="I10">
        <v>10</v>
      </c>
      <c r="J10">
        <v>2029</v>
      </c>
    </row>
    <row r="11" spans="1:12" x14ac:dyDescent="0.25">
      <c r="A11" t="s">
        <v>251</v>
      </c>
      <c r="G11">
        <v>11</v>
      </c>
      <c r="H11" t="s">
        <v>252</v>
      </c>
      <c r="I11">
        <v>11</v>
      </c>
      <c r="J11">
        <v>2030</v>
      </c>
    </row>
    <row r="12" spans="1:12" x14ac:dyDescent="0.25">
      <c r="A12" t="s">
        <v>253</v>
      </c>
      <c r="G12">
        <v>12</v>
      </c>
      <c r="H12" t="s">
        <v>254</v>
      </c>
      <c r="I12">
        <v>12</v>
      </c>
      <c r="J12">
        <v>2031</v>
      </c>
    </row>
    <row r="13" spans="1:12" x14ac:dyDescent="0.25">
      <c r="A13" t="s">
        <v>255</v>
      </c>
      <c r="G13">
        <v>13</v>
      </c>
    </row>
    <row r="14" spans="1:12" x14ac:dyDescent="0.25">
      <c r="A14" t="s">
        <v>256</v>
      </c>
      <c r="G14">
        <v>14</v>
      </c>
    </row>
    <row r="15" spans="1:12" x14ac:dyDescent="0.25">
      <c r="A15" t="s">
        <v>257</v>
      </c>
      <c r="G15">
        <v>15</v>
      </c>
    </row>
    <row r="16" spans="1:12" x14ac:dyDescent="0.25">
      <c r="A16" t="s">
        <v>258</v>
      </c>
      <c r="G16">
        <v>16</v>
      </c>
    </row>
    <row r="17" spans="1:7" x14ac:dyDescent="0.25">
      <c r="A17" t="s">
        <v>259</v>
      </c>
      <c r="G17">
        <v>17</v>
      </c>
    </row>
    <row r="18" spans="1:7" x14ac:dyDescent="0.25">
      <c r="A18" t="s">
        <v>260</v>
      </c>
      <c r="G18">
        <v>18</v>
      </c>
    </row>
    <row r="19" spans="1:7" x14ac:dyDescent="0.25">
      <c r="A19" t="s">
        <v>261</v>
      </c>
      <c r="G19">
        <v>19</v>
      </c>
    </row>
    <row r="20" spans="1:7" x14ac:dyDescent="0.25">
      <c r="A20" t="s">
        <v>262</v>
      </c>
      <c r="G20">
        <v>20</v>
      </c>
    </row>
    <row r="21" spans="1:7" x14ac:dyDescent="0.25">
      <c r="A21" t="s">
        <v>263</v>
      </c>
      <c r="G21">
        <v>21</v>
      </c>
    </row>
    <row r="22" spans="1:7" x14ac:dyDescent="0.25">
      <c r="A22" t="s">
        <v>264</v>
      </c>
      <c r="G22">
        <v>22</v>
      </c>
    </row>
    <row r="23" spans="1:7" x14ac:dyDescent="0.25">
      <c r="A23" t="s">
        <v>265</v>
      </c>
      <c r="G23">
        <v>23</v>
      </c>
    </row>
    <row r="24" spans="1:7" x14ac:dyDescent="0.25">
      <c r="A24" t="s">
        <v>266</v>
      </c>
      <c r="G24">
        <v>24</v>
      </c>
    </row>
    <row r="25" spans="1:7" x14ac:dyDescent="0.25">
      <c r="A25" t="s">
        <v>267</v>
      </c>
      <c r="G25">
        <v>25</v>
      </c>
    </row>
    <row r="26" spans="1:7" x14ac:dyDescent="0.25">
      <c r="A26" t="s">
        <v>268</v>
      </c>
      <c r="G26">
        <v>26</v>
      </c>
    </row>
    <row r="27" spans="1:7" x14ac:dyDescent="0.25">
      <c r="A27" t="s">
        <v>269</v>
      </c>
      <c r="G27">
        <v>27</v>
      </c>
    </row>
    <row r="28" spans="1:7" x14ac:dyDescent="0.25">
      <c r="A28" t="s">
        <v>270</v>
      </c>
      <c r="G28">
        <v>28</v>
      </c>
    </row>
    <row r="29" spans="1:7" x14ac:dyDescent="0.25">
      <c r="A29" t="s">
        <v>271</v>
      </c>
      <c r="G29">
        <v>29</v>
      </c>
    </row>
    <row r="30" spans="1:7" x14ac:dyDescent="0.25">
      <c r="A30" t="s">
        <v>272</v>
      </c>
      <c r="G30">
        <v>30</v>
      </c>
    </row>
    <row r="31" spans="1:7" x14ac:dyDescent="0.25">
      <c r="A31" t="s">
        <v>273</v>
      </c>
      <c r="G31">
        <v>31</v>
      </c>
    </row>
    <row r="32" spans="1:7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  <row r="42" spans="1:1" x14ac:dyDescent="0.25">
      <c r="A42" t="s">
        <v>284</v>
      </c>
    </row>
    <row r="43" spans="1:1" x14ac:dyDescent="0.25">
      <c r="A43" t="s">
        <v>285</v>
      </c>
    </row>
    <row r="44" spans="1:1" x14ac:dyDescent="0.25">
      <c r="A44" t="s">
        <v>286</v>
      </c>
    </row>
    <row r="45" spans="1:1" x14ac:dyDescent="0.25">
      <c r="A45" t="s">
        <v>287</v>
      </c>
    </row>
    <row r="46" spans="1:1" x14ac:dyDescent="0.25">
      <c r="A46" t="s">
        <v>288</v>
      </c>
    </row>
  </sheetData>
  <sheetProtection password="DB70" sheet="1" objects="1" scenarios="1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профосмотры</vt:lpstr>
      <vt:lpstr>15-17 лет</vt:lpstr>
      <vt:lpstr>Нац.проект «Здравоохранение»</vt:lpstr>
      <vt:lpstr>2510 -Дети сироты</vt:lpstr>
      <vt:lpstr>2510-дети-СВОД</vt:lpstr>
      <vt:lpstr>таб. 2511 ф. 30</vt:lpstr>
      <vt:lpstr>Годы</vt:lpstr>
      <vt:lpstr>Месяцы</vt:lpstr>
      <vt:lpstr>Названия_организаций</vt:lpstr>
      <vt:lpstr>Числа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revision/>
  <cp:lastPrinted>2021-10-28T08:57:50Z</cp:lastPrinted>
  <dcterms:created xsi:type="dcterms:W3CDTF">2006-09-16T00:00:00Z</dcterms:created>
  <dcterms:modified xsi:type="dcterms:W3CDTF">2021-12-27T06:28:27Z</dcterms:modified>
</cp:coreProperties>
</file>