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-120" yWindow="0" windowWidth="19440" windowHeight="15600" tabRatio="782" activeTab="1"/>
  </bookViews>
  <sheets>
    <sheet name="профосмотры" sheetId="1" r:id="rId1"/>
    <sheet name="15-17 лет" sheetId="5" r:id="rId2"/>
    <sheet name="Нац.проект «Здравоохранение»" sheetId="6" r:id="rId3"/>
    <sheet name="2510-2511 -Дети сироты" sheetId="7" r:id="rId4"/>
    <sheet name="2510-дети-СВОД" sheetId="8" r:id="rId5"/>
    <sheet name="таб. 2511 ф. 30" sheetId="9" r:id="rId6"/>
    <sheet name="Help" sheetId="4" state="veryHidden" r:id="rId7"/>
    <sheet name="план 2024" sheetId="10" state="veryHidden" r:id="rId8"/>
  </sheets>
  <definedNames>
    <definedName name="Годы">Help!$J$1:$J$12</definedName>
    <definedName name="Месяцы">Help!$H$1:$H$12</definedName>
    <definedName name="Названия_организаций">Help!$A$1:$A$46</definedName>
    <definedName name="Числа">Help!$G$1:$G$31</definedName>
  </definedNames>
  <calcPr calcId="145621"/>
</workbook>
</file>

<file path=xl/calcChain.xml><?xml version="1.0" encoding="utf-8"?>
<calcChain xmlns="http://schemas.openxmlformats.org/spreadsheetml/2006/main">
  <c r="L25" i="7" l="1"/>
  <c r="L26" i="7"/>
  <c r="L27" i="7"/>
  <c r="L28" i="7"/>
  <c r="L29" i="7"/>
  <c r="S44" i="7" l="1"/>
  <c r="R44" i="7"/>
  <c r="S43" i="7"/>
  <c r="Q43" i="7"/>
  <c r="P43" i="7" s="1"/>
  <c r="R43" i="7"/>
  <c r="S42" i="7"/>
  <c r="R42" i="7"/>
  <c r="Q42" i="7"/>
  <c r="N42" i="7" s="1"/>
  <c r="Q44" i="7"/>
  <c r="P44" i="7" s="1"/>
  <c r="S41" i="7"/>
  <c r="R41" i="7"/>
  <c r="Q41" i="7" s="1"/>
  <c r="P41" i="7" s="1"/>
  <c r="N44" i="7" l="1"/>
  <c r="N43" i="7"/>
  <c r="P42" i="7"/>
  <c r="S40" i="7"/>
  <c r="R40" i="7"/>
  <c r="Q40" i="7" s="1"/>
  <c r="P40" i="7" s="1"/>
  <c r="N39" i="7"/>
  <c r="N40" i="7" l="1"/>
  <c r="N41" i="7"/>
  <c r="E46" i="10"/>
  <c r="F46" i="10"/>
  <c r="G46" i="10"/>
  <c r="H46" i="10"/>
  <c r="I46" i="10"/>
  <c r="J46" i="10"/>
  <c r="K46" i="10"/>
  <c r="J14" i="8" l="1"/>
  <c r="K14" i="8"/>
  <c r="J15" i="8"/>
  <c r="K15" i="8"/>
  <c r="M48" i="7"/>
  <c r="M15" i="8" s="1"/>
  <c r="L48" i="7"/>
  <c r="L15" i="8" s="1"/>
  <c r="D48" i="7"/>
  <c r="D15" i="8" s="1"/>
  <c r="F48" i="7"/>
  <c r="F15" i="8" s="1"/>
  <c r="G48" i="7"/>
  <c r="G15" i="8" s="1"/>
  <c r="H48" i="7"/>
  <c r="H15" i="8" s="1"/>
  <c r="I48" i="7"/>
  <c r="I15" i="8" s="1"/>
  <c r="M47" i="7"/>
  <c r="M46" i="7" s="1"/>
  <c r="L47" i="7"/>
  <c r="D47" i="7"/>
  <c r="F47" i="7"/>
  <c r="G47" i="7"/>
  <c r="H47" i="7"/>
  <c r="I47" i="7"/>
  <c r="C26" i="7"/>
  <c r="D26" i="7"/>
  <c r="F26" i="7"/>
  <c r="G26" i="7"/>
  <c r="H26" i="7"/>
  <c r="I26" i="7"/>
  <c r="M26" i="7"/>
  <c r="C27" i="7"/>
  <c r="C39" i="7" s="1"/>
  <c r="D27" i="7"/>
  <c r="D39" i="7" s="1"/>
  <c r="F27" i="7"/>
  <c r="F39" i="7" s="1"/>
  <c r="G27" i="7"/>
  <c r="H27" i="7"/>
  <c r="I27" i="7"/>
  <c r="M27" i="7"/>
  <c r="C28" i="7"/>
  <c r="C40" i="7" s="1"/>
  <c r="R39" i="7" s="1"/>
  <c r="D28" i="7"/>
  <c r="D40" i="7" s="1"/>
  <c r="F28" i="7"/>
  <c r="F40" i="7" s="1"/>
  <c r="G28" i="7"/>
  <c r="H28" i="7"/>
  <c r="I28" i="7"/>
  <c r="M28" i="7"/>
  <c r="C29" i="7"/>
  <c r="D29" i="7"/>
  <c r="F29" i="7"/>
  <c r="G29" i="7"/>
  <c r="H29" i="7"/>
  <c r="I29" i="7"/>
  <c r="M29" i="7"/>
  <c r="M25" i="7"/>
  <c r="D25" i="7"/>
  <c r="F25" i="7"/>
  <c r="G25" i="7"/>
  <c r="H25" i="7"/>
  <c r="I25" i="7"/>
  <c r="C25" i="7"/>
  <c r="E20" i="7"/>
  <c r="E19" i="7"/>
  <c r="E18" i="7"/>
  <c r="E17" i="7"/>
  <c r="E16" i="7"/>
  <c r="E12" i="7"/>
  <c r="E11" i="7"/>
  <c r="E10" i="7"/>
  <c r="E9" i="7"/>
  <c r="E8" i="7"/>
  <c r="L46" i="7" l="1"/>
  <c r="G46" i="7"/>
  <c r="F46" i="7"/>
  <c r="E26" i="7"/>
  <c r="I46" i="7"/>
  <c r="D46" i="7"/>
  <c r="M14" i="8"/>
  <c r="I14" i="8"/>
  <c r="H14" i="8"/>
  <c r="H46" i="7"/>
  <c r="L14" i="8"/>
  <c r="G14" i="8"/>
  <c r="E28" i="7"/>
  <c r="E40" i="7" s="1"/>
  <c r="F14" i="8"/>
  <c r="D14" i="8"/>
  <c r="E48" i="7"/>
  <c r="E15" i="8" s="1"/>
  <c r="E27" i="7"/>
  <c r="E39" i="7" s="1"/>
  <c r="E29" i="7"/>
  <c r="E47" i="7"/>
  <c r="E25" i="7"/>
  <c r="E14" i="8" l="1"/>
  <c r="E46" i="7"/>
  <c r="K27" i="10"/>
  <c r="K21" i="10"/>
  <c r="K22" i="10"/>
  <c r="K26" i="10"/>
  <c r="K31" i="10"/>
  <c r="K42" i="10"/>
  <c r="K43" i="10"/>
  <c r="K44" i="10"/>
  <c r="K45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4" i="10"/>
  <c r="K5" i="10"/>
  <c r="K2" i="10"/>
  <c r="Q11" i="1" l="1"/>
  <c r="R11" i="1"/>
  <c r="S11" i="1"/>
  <c r="T11" i="1"/>
  <c r="U11" i="1"/>
  <c r="V11" i="1"/>
  <c r="W11" i="1"/>
  <c r="X11" i="1"/>
  <c r="Y11" i="1"/>
  <c r="Z11" i="1"/>
  <c r="AA11" i="1"/>
  <c r="H12" i="1" l="1"/>
  <c r="H13" i="1"/>
  <c r="H14" i="1"/>
  <c r="H15" i="1"/>
  <c r="H16" i="1"/>
  <c r="F32" i="5" l="1"/>
  <c r="G10" i="9" s="1"/>
  <c r="B21" i="5"/>
  <c r="C33" i="5" s="1"/>
  <c r="D21" i="5"/>
  <c r="E33" i="5" s="1"/>
  <c r="G32" i="5"/>
  <c r="H10" i="9" s="1"/>
  <c r="H32" i="5"/>
  <c r="I10" i="9" s="1"/>
  <c r="I32" i="5"/>
  <c r="J10" i="9" s="1"/>
  <c r="J32" i="5"/>
  <c r="K10" i="9" s="1"/>
  <c r="F33" i="5"/>
  <c r="G11" i="9" s="1"/>
  <c r="G33" i="5"/>
  <c r="H11" i="9" s="1"/>
  <c r="H33" i="5"/>
  <c r="I11" i="9" s="1"/>
  <c r="I33" i="5"/>
  <c r="J11" i="9" s="1"/>
  <c r="J33" i="5"/>
  <c r="K11" i="9" s="1"/>
  <c r="B15" i="5"/>
  <c r="C32" i="5" s="1"/>
  <c r="D10" i="9" s="1"/>
  <c r="D15" i="5"/>
  <c r="E32" i="5" s="1"/>
  <c r="F10" i="9" s="1"/>
  <c r="E10" i="6"/>
  <c r="E11" i="6"/>
  <c r="G39" i="7"/>
  <c r="H39" i="7"/>
  <c r="I39" i="7"/>
  <c r="J39" i="7"/>
  <c r="K39" i="7"/>
  <c r="L39" i="7"/>
  <c r="J9" i="8"/>
  <c r="K9" i="8"/>
  <c r="J10" i="8"/>
  <c r="K10" i="8"/>
  <c r="J11" i="8"/>
  <c r="K11" i="8"/>
  <c r="J12" i="8"/>
  <c r="K12" i="8"/>
  <c r="J13" i="8"/>
  <c r="K13" i="8"/>
  <c r="E14" i="1"/>
  <c r="E15" i="1"/>
  <c r="A15" i="5" s="1"/>
  <c r="B32" i="5" s="1"/>
  <c r="C10" i="9" s="1"/>
  <c r="G31" i="5" l="1"/>
  <c r="H9" i="9" s="1"/>
  <c r="F31" i="5"/>
  <c r="G9" i="9" s="1"/>
  <c r="A21" i="5"/>
  <c r="B33" i="5" s="1"/>
  <c r="E31" i="5"/>
  <c r="F9" i="9" s="1"/>
  <c r="J31" i="5"/>
  <c r="K9" i="9" s="1"/>
  <c r="I31" i="5"/>
  <c r="J9" i="9" s="1"/>
  <c r="H31" i="5"/>
  <c r="I9" i="9" s="1"/>
  <c r="C31" i="5"/>
  <c r="D9" i="9" s="1"/>
  <c r="F41" i="7"/>
  <c r="F11" i="9" s="1"/>
  <c r="C41" i="7"/>
  <c r="S39" i="7" s="1"/>
  <c r="Q39" i="7" s="1"/>
  <c r="P39" i="7" s="1"/>
  <c r="E41" i="7"/>
  <c r="D41" i="7"/>
  <c r="D11" i="9" s="1"/>
  <c r="C11" i="9" l="1"/>
  <c r="B31" i="5"/>
  <c r="C9" i="9" s="1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2" i="10"/>
  <c r="E12" i="1" l="1"/>
  <c r="E11" i="1" s="1"/>
  <c r="D46" i="10"/>
  <c r="G17" i="1"/>
  <c r="D18" i="1" s="1"/>
  <c r="D16" i="9" l="1"/>
  <c r="D15" i="9"/>
  <c r="D14" i="9"/>
  <c r="B4" i="9"/>
  <c r="I2" i="9"/>
  <c r="H2" i="9"/>
  <c r="G2" i="9"/>
  <c r="D20" i="8"/>
  <c r="D19" i="8"/>
  <c r="D18" i="8"/>
  <c r="B4" i="8"/>
  <c r="I2" i="8"/>
  <c r="H2" i="8"/>
  <c r="G2" i="8"/>
  <c r="D34" i="7"/>
  <c r="D33" i="7"/>
  <c r="D32" i="7"/>
  <c r="B4" i="7"/>
  <c r="I2" i="7"/>
  <c r="H2" i="7"/>
  <c r="G2" i="7"/>
  <c r="C18" i="6"/>
  <c r="C17" i="6"/>
  <c r="C16" i="6"/>
  <c r="A5" i="6"/>
  <c r="H3" i="6"/>
  <c r="G3" i="6"/>
  <c r="F3" i="6"/>
  <c r="F26" i="5"/>
  <c r="F25" i="5"/>
  <c r="F24" i="5"/>
  <c r="I7" i="5"/>
  <c r="A9" i="5"/>
  <c r="H7" i="5"/>
  <c r="G7" i="5"/>
  <c r="U36" i="5"/>
  <c r="T36" i="5" s="1"/>
  <c r="Q36" i="5" s="1"/>
  <c r="U35" i="5"/>
  <c r="T35" i="5" s="1"/>
  <c r="U24" i="5"/>
  <c r="T24" i="5"/>
  <c r="Q24" i="5" s="1"/>
  <c r="C47" i="7" l="1"/>
  <c r="N12" i="7" s="1"/>
  <c r="C48" i="7"/>
  <c r="S35" i="5"/>
  <c r="Q35" i="5" s="1"/>
  <c r="S36" i="5"/>
  <c r="S24" i="5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2" i="4"/>
  <c r="N13" i="7" l="1"/>
  <c r="C15" i="8"/>
  <c r="C46" i="7"/>
  <c r="C14" i="8"/>
  <c r="AJ29" i="1"/>
  <c r="AI29" i="1"/>
  <c r="AH29" i="1"/>
  <c r="AG29" i="1"/>
  <c r="AF29" i="1"/>
  <c r="F11" i="1"/>
  <c r="AE29" i="1" l="1"/>
  <c r="AD29" i="1" s="1"/>
  <c r="AB29" i="1" s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O27" i="1"/>
  <c r="AN27" i="1"/>
  <c r="AM27" i="1"/>
  <c r="AL27" i="1"/>
  <c r="AJ27" i="1"/>
  <c r="AI27" i="1"/>
  <c r="AG27" i="1"/>
  <c r="AF27" i="1"/>
  <c r="BD25" i="1"/>
  <c r="BC25" i="1"/>
  <c r="BB25" i="1"/>
  <c r="BA25" i="1"/>
  <c r="AV25" i="1"/>
  <c r="AU25" i="1"/>
  <c r="AT25" i="1"/>
  <c r="AS25" i="1"/>
  <c r="AO25" i="1"/>
  <c r="AN25" i="1"/>
  <c r="AM25" i="1"/>
  <c r="AL25" i="1"/>
  <c r="AJ25" i="1"/>
  <c r="AI25" i="1"/>
  <c r="AG25" i="1"/>
  <c r="AF25" i="1"/>
  <c r="AH27" i="1" l="1"/>
  <c r="AH25" i="1"/>
  <c r="T48" i="4"/>
  <c r="Q48" i="4" l="1"/>
  <c r="S48" i="4"/>
  <c r="R48" i="4" l="1"/>
  <c r="K33" i="5"/>
  <c r="L11" i="9" s="1"/>
  <c r="K32" i="5" l="1"/>
  <c r="K31" i="5" l="1"/>
  <c r="L9" i="9" s="1"/>
  <c r="L10" i="9"/>
  <c r="AB30" i="6"/>
  <c r="AA30" i="6"/>
  <c r="AB29" i="6"/>
  <c r="AA29" i="6"/>
  <c r="AB28" i="6"/>
  <c r="AA28" i="6"/>
  <c r="AB26" i="6"/>
  <c r="AA26" i="6"/>
  <c r="AB24" i="6"/>
  <c r="AA24" i="6"/>
  <c r="AB23" i="6"/>
  <c r="AA23" i="6"/>
  <c r="AB22" i="6"/>
  <c r="AA22" i="6"/>
  <c r="AB21" i="6"/>
  <c r="AA21" i="6"/>
  <c r="Z21" i="6" l="1"/>
  <c r="Y21" i="6" s="1"/>
  <c r="Z22" i="6"/>
  <c r="Y22" i="6" s="1"/>
  <c r="Z30" i="6"/>
  <c r="W30" i="6" s="1"/>
  <c r="Z23" i="6"/>
  <c r="Y23" i="6" s="1"/>
  <c r="Z26" i="6"/>
  <c r="Y26" i="6" s="1"/>
  <c r="Z29" i="6"/>
  <c r="Y29" i="6" s="1"/>
  <c r="Z24" i="6"/>
  <c r="Y24" i="6" s="1"/>
  <c r="Z28" i="6"/>
  <c r="Y28" i="6" s="1"/>
  <c r="W28" i="6" s="1"/>
  <c r="C15" i="5"/>
  <c r="P11" i="1"/>
  <c r="L11" i="1"/>
  <c r="K11" i="1"/>
  <c r="J11" i="1"/>
  <c r="I11" i="1"/>
  <c r="G11" i="1"/>
  <c r="D11" i="1"/>
  <c r="C11" i="1"/>
  <c r="C21" i="5" l="1"/>
  <c r="G21" i="5" s="1"/>
  <c r="B11" i="6"/>
  <c r="G15" i="5"/>
  <c r="H11" i="6" s="1"/>
  <c r="D32" i="5"/>
  <c r="E10" i="9" s="1"/>
  <c r="W21" i="6"/>
  <c r="W29" i="6"/>
  <c r="Y30" i="6"/>
  <c r="M11" i="1"/>
  <c r="H11" i="1" s="1"/>
  <c r="B10" i="6"/>
  <c r="I11" i="6" l="1"/>
  <c r="D33" i="5"/>
  <c r="E11" i="9" s="1"/>
  <c r="AB14" i="6"/>
  <c r="AB13" i="6"/>
  <c r="D31" i="5" l="1"/>
  <c r="E9" i="9" s="1"/>
  <c r="AA16" i="6"/>
  <c r="AA11" i="6"/>
  <c r="AA27" i="6"/>
  <c r="AA25" i="6"/>
  <c r="AA15" i="6"/>
  <c r="AB27" i="6"/>
  <c r="AB25" i="6"/>
  <c r="AB12" i="6"/>
  <c r="AA14" i="6"/>
  <c r="Z14" i="6" s="1"/>
  <c r="Y14" i="6" s="1"/>
  <c r="AA12" i="6"/>
  <c r="AA13" i="6"/>
  <c r="Z13" i="6" s="1"/>
  <c r="Y13" i="6" s="1"/>
  <c r="Z12" i="6" l="1"/>
  <c r="Y12" i="6" s="1"/>
  <c r="Z25" i="6"/>
  <c r="Y25" i="6" s="1"/>
  <c r="Z27" i="6"/>
  <c r="Y27" i="6" s="1"/>
  <c r="C5" i="5"/>
  <c r="W23" i="6"/>
  <c r="AB20" i="6"/>
  <c r="AA20" i="6"/>
  <c r="AB19" i="6"/>
  <c r="AA19" i="6"/>
  <c r="AB18" i="6"/>
  <c r="AB11" i="6"/>
  <c r="Z11" i="6" s="1"/>
  <c r="Y11" i="6" s="1"/>
  <c r="F30" i="1"/>
  <c r="F12" i="8" s="1"/>
  <c r="AG26" i="1"/>
  <c r="AH26" i="1"/>
  <c r="AI26" i="1"/>
  <c r="AJ26" i="1"/>
  <c r="AL26" i="1"/>
  <c r="AM26" i="1"/>
  <c r="AN26" i="1"/>
  <c r="AO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F26" i="1"/>
  <c r="V11" i="7"/>
  <c r="U11" i="7"/>
  <c r="T11" i="7"/>
  <c r="S11" i="7"/>
  <c r="R11" i="7"/>
  <c r="U33" i="5"/>
  <c r="T33" i="5" s="1"/>
  <c r="U32" i="5"/>
  <c r="T32" i="5" s="1"/>
  <c r="S32" i="5" s="1"/>
  <c r="U31" i="5"/>
  <c r="T31" i="5" s="1"/>
  <c r="U28" i="5"/>
  <c r="T28" i="5" s="1"/>
  <c r="U23" i="5"/>
  <c r="T23" i="5" s="1"/>
  <c r="U22" i="5"/>
  <c r="T22" i="5" s="1"/>
  <c r="U21" i="5"/>
  <c r="T21" i="5" s="1"/>
  <c r="S21" i="5" s="1"/>
  <c r="U17" i="5"/>
  <c r="T17" i="5" s="1"/>
  <c r="B1" i="8"/>
  <c r="A1" i="8" s="1"/>
  <c r="B1" i="7"/>
  <c r="A1" i="7" s="1"/>
  <c r="B1" i="9"/>
  <c r="A1" i="9" s="1"/>
  <c r="AJ24" i="1"/>
  <c r="AI24" i="1"/>
  <c r="AH24" i="1"/>
  <c r="AG24" i="1"/>
  <c r="AF24" i="1"/>
  <c r="AJ22" i="1"/>
  <c r="AI22" i="1"/>
  <c r="AH22" i="1"/>
  <c r="AG22" i="1"/>
  <c r="AF22" i="1"/>
  <c r="AJ19" i="1"/>
  <c r="AI19" i="1"/>
  <c r="AH19" i="1"/>
  <c r="AG19" i="1"/>
  <c r="AF19" i="1"/>
  <c r="AJ18" i="1"/>
  <c r="AI18" i="1"/>
  <c r="AH18" i="1"/>
  <c r="AG18" i="1"/>
  <c r="AF18" i="1"/>
  <c r="AJ14" i="1"/>
  <c r="AI14" i="1"/>
  <c r="AH14" i="1"/>
  <c r="AG14" i="1"/>
  <c r="AF14" i="1"/>
  <c r="AJ13" i="1"/>
  <c r="AI13" i="1"/>
  <c r="AH13" i="1"/>
  <c r="AG13" i="1"/>
  <c r="AF13" i="1"/>
  <c r="AJ12" i="1"/>
  <c r="AI12" i="1"/>
  <c r="AH12" i="1"/>
  <c r="AG12" i="1"/>
  <c r="AF12" i="1"/>
  <c r="AJ11" i="1"/>
  <c r="AI11" i="1"/>
  <c r="AH11" i="1"/>
  <c r="AG11" i="1"/>
  <c r="AF11" i="1"/>
  <c r="M31" i="1"/>
  <c r="M13" i="8" s="1"/>
  <c r="L31" i="1"/>
  <c r="L13" i="8" s="1"/>
  <c r="H31" i="1"/>
  <c r="H13" i="8" s="1"/>
  <c r="G31" i="1"/>
  <c r="G13" i="8" s="1"/>
  <c r="F31" i="1"/>
  <c r="F13" i="8" s="1"/>
  <c r="D31" i="1"/>
  <c r="D13" i="8" s="1"/>
  <c r="C31" i="1"/>
  <c r="C13" i="8" s="1"/>
  <c r="M30" i="1"/>
  <c r="M12" i="8" s="1"/>
  <c r="L30" i="1"/>
  <c r="L12" i="8" s="1"/>
  <c r="H30" i="1"/>
  <c r="H12" i="8" s="1"/>
  <c r="G30" i="1"/>
  <c r="G12" i="8" s="1"/>
  <c r="D30" i="1"/>
  <c r="D12" i="8" s="1"/>
  <c r="C30" i="1"/>
  <c r="C12" i="8" s="1"/>
  <c r="M29" i="1"/>
  <c r="M11" i="8" s="1"/>
  <c r="L29" i="1"/>
  <c r="L11" i="8" s="1"/>
  <c r="H29" i="1"/>
  <c r="H11" i="8" s="1"/>
  <c r="G29" i="1"/>
  <c r="G11" i="8" s="1"/>
  <c r="F29" i="1"/>
  <c r="F11" i="8" s="1"/>
  <c r="D29" i="1"/>
  <c r="D11" i="8" s="1"/>
  <c r="C29" i="1"/>
  <c r="C11" i="8" s="1"/>
  <c r="M28" i="1"/>
  <c r="M10" i="8" s="1"/>
  <c r="L28" i="1"/>
  <c r="L10" i="8" s="1"/>
  <c r="H28" i="1"/>
  <c r="H10" i="8" s="1"/>
  <c r="G28" i="1"/>
  <c r="G10" i="8" s="1"/>
  <c r="F28" i="1"/>
  <c r="F10" i="8" s="1"/>
  <c r="D28" i="1"/>
  <c r="D10" i="8" s="1"/>
  <c r="C28" i="1"/>
  <c r="C10" i="8" s="1"/>
  <c r="M27" i="1"/>
  <c r="M9" i="8" s="1"/>
  <c r="L27" i="1"/>
  <c r="L9" i="8" s="1"/>
  <c r="H27" i="1"/>
  <c r="H9" i="8" s="1"/>
  <c r="G27" i="1"/>
  <c r="G9" i="8" s="1"/>
  <c r="F27" i="1"/>
  <c r="F9" i="8" s="1"/>
  <c r="D27" i="1"/>
  <c r="D9" i="8" s="1"/>
  <c r="C27" i="1"/>
  <c r="C9" i="8" s="1"/>
  <c r="V9" i="7"/>
  <c r="D1" i="1"/>
  <c r="E1" i="1"/>
  <c r="C1" i="1" s="1"/>
  <c r="A1" i="1" s="1"/>
  <c r="E28" i="1"/>
  <c r="E10" i="8" s="1"/>
  <c r="E29" i="1"/>
  <c r="E11" i="8" s="1"/>
  <c r="E30" i="1"/>
  <c r="E12" i="8" s="1"/>
  <c r="I30" i="1"/>
  <c r="I12" i="8" s="1"/>
  <c r="I27" i="1"/>
  <c r="I9" i="8" s="1"/>
  <c r="W17" i="1"/>
  <c r="I28" i="1"/>
  <c r="I10" i="8" s="1"/>
  <c r="I31" i="1"/>
  <c r="I13" i="8" s="1"/>
  <c r="I29" i="1"/>
  <c r="I11" i="8" s="1"/>
  <c r="H17" i="1"/>
  <c r="AB28" i="1" s="1"/>
  <c r="E27" i="1"/>
  <c r="E9" i="8" s="1"/>
  <c r="AJ21" i="1"/>
  <c r="AJ23" i="1"/>
  <c r="AJ20" i="1"/>
  <c r="AJ16" i="1"/>
  <c r="AJ15" i="1"/>
  <c r="E31" i="1"/>
  <c r="E13" i="8" s="1"/>
  <c r="AI20" i="1"/>
  <c r="AI17" i="1"/>
  <c r="AI15" i="1"/>
  <c r="AI23" i="1"/>
  <c r="AI21" i="1"/>
  <c r="AI16" i="1"/>
  <c r="AH21" i="1"/>
  <c r="AH16" i="1"/>
  <c r="AH17" i="1"/>
  <c r="AH15" i="1"/>
  <c r="AH20" i="1"/>
  <c r="AH23" i="1"/>
  <c r="AG16" i="1"/>
  <c r="AG23" i="1"/>
  <c r="AG17" i="1"/>
  <c r="AG15" i="1"/>
  <c r="AG21" i="1"/>
  <c r="AG20" i="1"/>
  <c r="AF16" i="1"/>
  <c r="AF17" i="1"/>
  <c r="AF20" i="1"/>
  <c r="AF23" i="1"/>
  <c r="AF21" i="1"/>
  <c r="AF15" i="1"/>
  <c r="B1" i="6"/>
  <c r="C1" i="6"/>
  <c r="A1" i="6" s="1"/>
  <c r="U9" i="7" l="1"/>
  <c r="U25" i="5"/>
  <c r="T25" i="5" s="1"/>
  <c r="S25" i="5" s="1"/>
  <c r="U18" i="5"/>
  <c r="T18" i="5" s="1"/>
  <c r="U29" i="5"/>
  <c r="T29" i="5" s="1"/>
  <c r="U26" i="5"/>
  <c r="T26" i="5" s="1"/>
  <c r="U15" i="5"/>
  <c r="T15" i="5" s="1"/>
  <c r="S15" i="5" s="1"/>
  <c r="U34" i="5"/>
  <c r="T34" i="5" s="1"/>
  <c r="Q28" i="5"/>
  <c r="S28" i="5"/>
  <c r="AE19" i="1"/>
  <c r="AD19" i="1" s="1"/>
  <c r="AE23" i="1"/>
  <c r="S23" i="5"/>
  <c r="Q23" i="5"/>
  <c r="Q33" i="5"/>
  <c r="S33" i="5"/>
  <c r="U16" i="5"/>
  <c r="T16" i="5" s="1"/>
  <c r="S16" i="5" s="1"/>
  <c r="AE22" i="1"/>
  <c r="AD22" i="1" s="1"/>
  <c r="Q32" i="5"/>
  <c r="Q11" i="7"/>
  <c r="AE14" i="1"/>
  <c r="AD14" i="1" s="1"/>
  <c r="AE27" i="1"/>
  <c r="AD27" i="1" s="1"/>
  <c r="AB27" i="1" s="1"/>
  <c r="S31" i="5"/>
  <c r="Q31" i="5"/>
  <c r="S22" i="5"/>
  <c r="Q22" i="5" s="1"/>
  <c r="Q21" i="5"/>
  <c r="AE20" i="1"/>
  <c r="AD20" i="1" s="1"/>
  <c r="AE26" i="1"/>
  <c r="AD26" i="1" s="1"/>
  <c r="AE17" i="1"/>
  <c r="AB17" i="1" s="1"/>
  <c r="U27" i="5"/>
  <c r="T27" i="5" s="1"/>
  <c r="S27" i="5" s="1"/>
  <c r="AE25" i="1"/>
  <c r="AD25" i="1" s="1"/>
  <c r="AB25" i="1" s="1"/>
  <c r="AE15" i="1"/>
  <c r="AE13" i="1"/>
  <c r="AD13" i="1" s="1"/>
  <c r="AE18" i="1"/>
  <c r="AE24" i="1"/>
  <c r="F5" i="5"/>
  <c r="A5" i="5" s="1"/>
  <c r="Z19" i="6"/>
  <c r="Y19" i="6" s="1"/>
  <c r="Z20" i="6"/>
  <c r="Y20" i="6" s="1"/>
  <c r="AE16" i="1"/>
  <c r="AE21" i="1"/>
  <c r="S9" i="7"/>
  <c r="V10" i="7"/>
  <c r="R9" i="7"/>
  <c r="S10" i="7"/>
  <c r="R10" i="7"/>
  <c r="U10" i="7"/>
  <c r="T10" i="7"/>
  <c r="S17" i="5"/>
  <c r="Q17" i="5"/>
  <c r="AE12" i="1"/>
  <c r="AE11" i="1"/>
  <c r="W25" i="6"/>
  <c r="AA18" i="6"/>
  <c r="Z18" i="6" s="1"/>
  <c r="Y18" i="6" s="1"/>
  <c r="W13" i="6"/>
  <c r="W24" i="6"/>
  <c r="AB10" i="6"/>
  <c r="AA10" i="6"/>
  <c r="AA17" i="6"/>
  <c r="P11" i="7" l="1"/>
  <c r="N11" i="7"/>
  <c r="T9" i="7"/>
  <c r="S26" i="5"/>
  <c r="Q26" i="5" s="1"/>
  <c r="Q25" i="5"/>
  <c r="AB16" i="6"/>
  <c r="Z16" i="6" s="1"/>
  <c r="Y16" i="6" s="1"/>
  <c r="U30" i="5"/>
  <c r="T30" i="5" s="1"/>
  <c r="U19" i="5"/>
  <c r="T19" i="5" s="1"/>
  <c r="S19" i="5" s="1"/>
  <c r="Q19" i="5" s="1"/>
  <c r="S34" i="5"/>
  <c r="Q34" i="5" s="1"/>
  <c r="Q15" i="5"/>
  <c r="AD12" i="1"/>
  <c r="AB12" i="1" s="1"/>
  <c r="AB14" i="1"/>
  <c r="AD23" i="1"/>
  <c r="AB23" i="1" s="1"/>
  <c r="Q16" i="5"/>
  <c r="AB22" i="1"/>
  <c r="AB20" i="1"/>
  <c r="AB19" i="1"/>
  <c r="Q27" i="5"/>
  <c r="AD17" i="1"/>
  <c r="AD18" i="1"/>
  <c r="AB18" i="1" s="1"/>
  <c r="AD15" i="1"/>
  <c r="AB15" i="1" s="1"/>
  <c r="S29" i="5"/>
  <c r="Q29" i="5" s="1"/>
  <c r="AB26" i="1"/>
  <c r="AD24" i="1"/>
  <c r="AB24" i="1" s="1"/>
  <c r="AD21" i="1"/>
  <c r="AB21" i="1" s="1"/>
  <c r="Z10" i="6"/>
  <c r="Y10" i="6" s="1"/>
  <c r="S18" i="5"/>
  <c r="Q18" i="5" s="1"/>
  <c r="AD16" i="1"/>
  <c r="AB16" i="1" s="1"/>
  <c r="AB13" i="1"/>
  <c r="AD11" i="1"/>
  <c r="AB11" i="1" s="1"/>
  <c r="W19" i="6"/>
  <c r="W18" i="6"/>
  <c r="W26" i="6"/>
  <c r="W27" i="6"/>
  <c r="W22" i="6"/>
  <c r="W20" i="6"/>
  <c r="W12" i="6"/>
  <c r="W14" i="6"/>
  <c r="Q9" i="7"/>
  <c r="Q10" i="7"/>
  <c r="W11" i="6"/>
  <c r="W16" i="6" l="1"/>
  <c r="AB15" i="6"/>
  <c r="Z15" i="6" s="1"/>
  <c r="AB17" i="6"/>
  <c r="Z17" i="6" s="1"/>
  <c r="Y17" i="6" s="1"/>
  <c r="S30" i="5"/>
  <c r="Q30" i="5" s="1"/>
  <c r="W10" i="6"/>
  <c r="P10" i="7"/>
  <c r="N10" i="7" s="1"/>
  <c r="P9" i="7"/>
  <c r="N9" i="7" s="1"/>
  <c r="W17" i="6" l="1"/>
  <c r="Y15" i="6"/>
  <c r="W15" i="6" s="1"/>
</calcChain>
</file>

<file path=xl/sharedStrings.xml><?xml version="1.0" encoding="utf-8"?>
<sst xmlns="http://schemas.openxmlformats.org/spreadsheetml/2006/main" count="800" uniqueCount="338">
  <si>
    <t>по состоянию на</t>
  </si>
  <si>
    <t>выбор числа</t>
  </si>
  <si>
    <t>выбор месяца</t>
  </si>
  <si>
    <t>выбор года</t>
  </si>
  <si>
    <t>Название учреждения</t>
  </si>
  <si>
    <t>№ стр.</t>
  </si>
  <si>
    <t>Категории детей</t>
  </si>
  <si>
    <t>Плановые показатели</t>
  </si>
  <si>
    <r>
      <t xml:space="preserve">Число </t>
    </r>
    <r>
      <rPr>
        <b/>
        <sz val="12"/>
        <color indexed="8"/>
        <rFont val="Times New Roman"/>
        <family val="1"/>
        <charset val="204"/>
      </rPr>
      <t>детей прошедших 1 этап профилактических осмотров</t>
    </r>
  </si>
  <si>
    <r>
      <t>Распределение</t>
    </r>
    <r>
      <rPr>
        <b/>
        <sz val="12"/>
        <color indexed="8"/>
        <rFont val="Times New Roman"/>
        <family val="1"/>
        <charset val="204"/>
      </rPr>
      <t xml:space="preserve"> детей, прошедших 1 этап профилактических осмотров, по группам здоровья</t>
    </r>
  </si>
  <si>
    <t>Распределение детей по медицинским группам для занятий физкультурой</t>
  </si>
  <si>
    <t>Число законченных случаев 1 этапа профилактического осмотра</t>
  </si>
  <si>
    <t>Число детей направленных на 2 этап профосмотра</t>
  </si>
  <si>
    <r>
      <t>Из них завершили 2 этап</t>
    </r>
    <r>
      <rPr>
        <b/>
        <sz val="11"/>
        <color indexed="8"/>
        <rFont val="Times New Roman"/>
        <family val="1"/>
        <charset val="204"/>
      </rPr>
      <t xml:space="preserve"> профосмотра</t>
    </r>
  </si>
  <si>
    <t>Проверка</t>
  </si>
  <si>
    <t xml:space="preserve">Прикреплено к учреждению детей до 17 лет включительно </t>
  </si>
  <si>
    <t>в том числе</t>
  </si>
  <si>
    <t>подлежит по плану всего</t>
  </si>
  <si>
    <t>из них сельских жителей из гр.3</t>
  </si>
  <si>
    <t>в т.ч. детей-инвалидов (из гр.2)</t>
  </si>
  <si>
    <t>всего</t>
  </si>
  <si>
    <t>из них сельских жителей</t>
  </si>
  <si>
    <t>из гр.9</t>
  </si>
  <si>
    <t>в т.ч. детей-инвалидов из гр.10</t>
  </si>
  <si>
    <t>в т.ч. детей-инвалидов из гр.11</t>
  </si>
  <si>
    <t>основная</t>
  </si>
  <si>
    <t>подготови- тельная</t>
  </si>
  <si>
    <t>специальная</t>
  </si>
  <si>
    <t>Представ-лено счетов к оплате</t>
  </si>
  <si>
    <t>Из них оплачено</t>
  </si>
  <si>
    <t xml:space="preserve"> детей-инвалидов </t>
  </si>
  <si>
    <t>из них: III А</t>
  </si>
  <si>
    <t>из них: III Б</t>
  </si>
  <si>
    <t>А</t>
  </si>
  <si>
    <t>Б</t>
  </si>
  <si>
    <t>3.1</t>
  </si>
  <si>
    <t>5.1</t>
  </si>
  <si>
    <t>9.1</t>
  </si>
  <si>
    <t>9.2</t>
  </si>
  <si>
    <t>10.1</t>
  </si>
  <si>
    <t>11.1</t>
  </si>
  <si>
    <t xml:space="preserve">Всего </t>
  </si>
  <si>
    <t>гр.2 меньше либо равна гр.1</t>
  </si>
  <si>
    <t xml:space="preserve">дети в возрасте 0-14 лет вкл.                                     </t>
  </si>
  <si>
    <t>гр.3 меньше либо равна гр.1</t>
  </si>
  <si>
    <t>из них дети до 1 года</t>
  </si>
  <si>
    <t>Х</t>
  </si>
  <si>
    <t>гр.3.1 меньше либо равна гр.3</t>
  </si>
  <si>
    <t>дети 15-17 лет вкл.</t>
  </si>
  <si>
    <t>гр.4 меньше либо равна гр.2</t>
  </si>
  <si>
    <t>из общего числа детей 15-17 лет(стр03)-юношей</t>
  </si>
  <si>
    <t>гр.5 меньше либо равна гр.3</t>
  </si>
  <si>
    <t>школьники (из суммы стр1+3)</t>
  </si>
  <si>
    <t>гр.5.1 меньше либо равна гр.5</t>
  </si>
  <si>
    <t>гр.6 меньше либо равна гр.5</t>
  </si>
  <si>
    <t>контроль</t>
  </si>
  <si>
    <t>гр.10.1 меньше либо равна гр.10</t>
  </si>
  <si>
    <t>гр.11.1 меньше либо равна гр.11</t>
  </si>
  <si>
    <t>сумма граф 12-15 меньше либо равна гр.5</t>
  </si>
  <si>
    <t>Ф.И.О. главного врача</t>
  </si>
  <si>
    <t>гр.16 меньше либо равна гр.5</t>
  </si>
  <si>
    <t>Ф.И.О. исполнителя</t>
  </si>
  <si>
    <t>гр.17 меньше либо равна гр.16</t>
  </si>
  <si>
    <t>телефон исполнителя</t>
  </si>
  <si>
    <t>гр.18 меньше либо равна гр.5</t>
  </si>
  <si>
    <t>гр.19 меньше либо равна гр.18</t>
  </si>
  <si>
    <t xml:space="preserve">таб.2510 </t>
  </si>
  <si>
    <t>подлежало осмотрам</t>
  </si>
  <si>
    <t>из них: сельских жителей</t>
  </si>
  <si>
    <t>осмотрено</t>
  </si>
  <si>
    <t>из числа осмотренных(гр 5): определены группы здоровья - I</t>
  </si>
  <si>
    <t>из числа осмотрен-ных(гр 5): определены группы здоровья - II</t>
  </si>
  <si>
    <t>из числа осмотрен-ных(гр 5): определены группы здоровья - III</t>
  </si>
  <si>
    <t>из числа осмотренных(гр 5): определены группы здоровья - IV</t>
  </si>
  <si>
    <t>из числа осмотренных(гр 5): определены группы здоровья -V</t>
  </si>
  <si>
    <t>стр.2 меньше стр.1</t>
  </si>
  <si>
    <t>Профосмотры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</si>
  <si>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</si>
  <si>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</si>
  <si>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</si>
  <si>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</si>
  <si>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</si>
  <si>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</si>
  <si>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</si>
  <si>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</si>
  <si>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</si>
  <si>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</si>
  <si>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</si>
  <si>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стр.4 меньше либо равна стр.3</t>
  </si>
  <si>
    <t xml:space="preserve">дети в возрасте 0-14 лет вкл.                                      </t>
  </si>
  <si>
    <t>стр.5 меньше суммы стр.1+стр.3</t>
  </si>
  <si>
    <t>стр.17 Excel гр.5=стр.11 Excel гр.5</t>
  </si>
  <si>
    <t>школьники(из суммы стр1+3)</t>
  </si>
  <si>
    <t>ПРИЛОЖЕНИЕ 6</t>
  </si>
  <si>
    <t xml:space="preserve">к приказу комитета здравоохранения </t>
  </si>
  <si>
    <t>Волгоградской области</t>
  </si>
  <si>
    <t>от___________№_____________</t>
  </si>
  <si>
    <t xml:space="preserve">Информация об охваченных  профилактическими осмотрами несовершеннолетних  в возрасте 15- 17 лет </t>
  </si>
  <si>
    <t>название организации</t>
  </si>
  <si>
    <t>ЮНОШИ  (15-17 лет)</t>
  </si>
  <si>
    <t>План                        (чел.)</t>
  </si>
  <si>
    <t>из них сельских жителей (чел.)</t>
  </si>
  <si>
    <t>Факт осмотренных</t>
  </si>
  <si>
    <t>Кол-во детей с выявленной патологией органов репродуктивной системы (чел.) из гр.6</t>
  </si>
  <si>
    <t>из них сельских жителей (чел.) из гр.7</t>
  </si>
  <si>
    <t>Из них впервые (чел.) из гр.7</t>
  </si>
  <si>
    <t>из них сельских жителей (чел.) из гр.7.2</t>
  </si>
  <si>
    <t>Кол- во детей направленных на 2 этап для дообследования (чел.) из гр.7.2</t>
  </si>
  <si>
    <t>всего (чел.)</t>
  </si>
  <si>
    <t>Число посещений (из графы 3)*</t>
  </si>
  <si>
    <t>из них сельских жителей (чел.) из гр.5</t>
  </si>
  <si>
    <t>осмотрено врачом урологом -андрологом (чел. из гр. 3)</t>
  </si>
  <si>
    <t>7.1</t>
  </si>
  <si>
    <t>7.2</t>
  </si>
  <si>
    <t>7.3</t>
  </si>
  <si>
    <t>гр.2 &lt;=гр.1</t>
  </si>
  <si>
    <t>гр.4 &lt;=гр.3</t>
  </si>
  <si>
    <t>ДЕВУШКИ  (15-17 лет)</t>
  </si>
  <si>
    <t>гр.5.1 &lt;=гр.5</t>
  </si>
  <si>
    <t>Кол-во детей с выявленной патологией органов репродуктивной системы (чел.) из гр.11</t>
  </si>
  <si>
    <t>из них сельских жителей (чел.) из гр.14</t>
  </si>
  <si>
    <t>Из них впервые (чел.) из гр.14</t>
  </si>
  <si>
    <t>из них сельских жителей (чел.) из гр.14.2</t>
  </si>
  <si>
    <t>гр.6 &lt;=гр.3</t>
  </si>
  <si>
    <t>из них сельских жителей (чел.) из гр.11</t>
  </si>
  <si>
    <t>осмотрено врачом акушером-гинекологом (чел. из гр. 11)</t>
  </si>
  <si>
    <t>гр.7 &lt;=гр.6</t>
  </si>
  <si>
    <t>14.1</t>
  </si>
  <si>
    <t>гр.7.1 &lt;=гр.7</t>
  </si>
  <si>
    <t>*число посещений это число осмотров специалистами</t>
  </si>
  <si>
    <t>гр.7.2 &lt;=гр.7</t>
  </si>
  <si>
    <t>гр.7.3 &lt;=гр.7.2</t>
  </si>
  <si>
    <t>гр.8 &lt;=гр.3</t>
  </si>
  <si>
    <t>гр.10 &lt;=гр.9</t>
  </si>
  <si>
    <t>гр.13 &lt;=гр.11</t>
  </si>
  <si>
    <t>из них:сельских жителей</t>
  </si>
  <si>
    <t/>
  </si>
  <si>
    <t>гр.14.1 &lt;=гр.14</t>
  </si>
  <si>
    <t>осмотрено пациентов всего</t>
  </si>
  <si>
    <t>из них мальчиков(урологом-андрологом)</t>
  </si>
  <si>
    <t>девочек(акушером-гинекологом)</t>
  </si>
  <si>
    <t>Сведения  о профилактических осмотрами несовершеннолетних  в рамках национального  проекта «Здравоохранение»</t>
  </si>
  <si>
    <t>Осмотрено (завершено)</t>
  </si>
  <si>
    <t>Осмотрено урологом-андрологом</t>
  </si>
  <si>
    <t>Осмотрено гинекологом</t>
  </si>
  <si>
    <t>Число несовершеннолетних, у которых в ходе осмотров и диспансеризации впервые выявлены неинфекционные заболевания</t>
  </si>
  <si>
    <t>В том числе</t>
  </si>
  <si>
    <t>Число граждан, у которых в ходе осмотров и диспансеризации впервые выявлены факторы риска</t>
  </si>
  <si>
    <t>Из числа граждан, у которых выявлены неинфекционные заболевания (из гр. 9), взяты на диспансерное наблюдение</t>
  </si>
  <si>
    <t>Из числа граждан, у которых впервые выявлены неинфекционные заболевания (из гр. 9), было начато лечение</t>
  </si>
  <si>
    <t>из них сельских жителей 
(из гр. 20)</t>
  </si>
  <si>
    <t>в вечернее время (после 18:00 )</t>
  </si>
  <si>
    <t>в субботу</t>
  </si>
  <si>
    <t>болезни системы кровообращения</t>
  </si>
  <si>
    <t>злокачественные новообразования</t>
  </si>
  <si>
    <t>в том числе в I и II стадиях (из гр.11)</t>
  </si>
  <si>
    <t xml:space="preserve">болезни костно-мышечной системы и соединительной ткани </t>
  </si>
  <si>
    <t>болезни глаза и его придаточного аппарата</t>
  </si>
  <si>
    <t>болезни эндокринной системы, расстройств питания и нарушения обмена веществ</t>
  </si>
  <si>
    <t>хронические заболевания органов дыхания</t>
  </si>
  <si>
    <t>болезни органов пищеварения</t>
  </si>
  <si>
    <t>Дети в возрасте 0 - 14 лет включительно</t>
  </si>
  <si>
    <t>гр.2 меньше  гр.1</t>
  </si>
  <si>
    <t>Дети в возрасте 15 - 17 лет включительно</t>
  </si>
  <si>
    <t>гр.3 меньшегр.1</t>
  </si>
  <si>
    <t>гр.4 меньшегр.1</t>
  </si>
  <si>
    <t>факторы риска по методическим рекомендациям Минздрава</t>
  </si>
  <si>
    <t>гр.5 меньше  гр.4</t>
  </si>
  <si>
    <t>Гиперхолестеринемия (E78);</t>
  </si>
  <si>
    <t>гр.6 меньшегр.4</t>
  </si>
  <si>
    <t>Гипергликемия (R73.9);</t>
  </si>
  <si>
    <t>гр.7 меньше либо равна гр.1</t>
  </si>
  <si>
    <t>Курение табака (Z72.0);</t>
  </si>
  <si>
    <t>гр.8 меньше либо равна гр.1</t>
  </si>
  <si>
    <t>Нерациональное питание (Z72.4);</t>
  </si>
  <si>
    <t>сумма граф 7+8 меньше либо равна гр.1</t>
  </si>
  <si>
    <t>Избыточная масса тела (R63.5);</t>
  </si>
  <si>
    <t>гр.9 меньше либо равна гр.1</t>
  </si>
  <si>
    <t xml:space="preserve"> Дефицит массы тела;</t>
  </si>
  <si>
    <t>гр.10 меньше либо равна гр.9</t>
  </si>
  <si>
    <t>Низкая физическая активность (Z72.3);</t>
  </si>
  <si>
    <t>гр.11 меньше либо равна гр.9</t>
  </si>
  <si>
    <t>Риск пагубного потребления алкоголя (Z72.1);</t>
  </si>
  <si>
    <t>гр.12 меньше либо равна гр.11</t>
  </si>
  <si>
    <t>Риск потребления наркотических средств и психотропных веществ без назначения врача (Z72.2).</t>
  </si>
  <si>
    <t>гр.13 меньше либо равна гр.9</t>
  </si>
  <si>
    <t>гр.14 меньше либо равна гр.9</t>
  </si>
  <si>
    <t>гр.15 меньше либо равна гр.9</t>
  </si>
  <si>
    <t>гр.16 меньше либо равна гр.1</t>
  </si>
  <si>
    <t>гр.17 меньше либо равна гр.9</t>
  </si>
  <si>
    <t>гр.18 меньше либо равна гр.1</t>
  </si>
  <si>
    <t>гр.19 меньше либо равна гр.9</t>
  </si>
  <si>
    <t>гр.20 меньше либо равна гр.9</t>
  </si>
  <si>
    <t>гр.21 меньше либо равна гр20</t>
  </si>
  <si>
    <t>Сведения  о диспансеризации детей сирот</t>
  </si>
  <si>
    <t>№ п/п</t>
  </si>
  <si>
    <t>из числа осмотренных(гр 5):определены группы здоровья - I</t>
  </si>
  <si>
    <t>из числа осмотренных(гр 5):определены группы здоровья - II</t>
  </si>
  <si>
    <t>из числа осмотренных(гр 5):определены группы здоровья - III</t>
  </si>
  <si>
    <t>из числа осмотренных(гр 5):определены группы здоровья - IV</t>
  </si>
  <si>
    <t>из числа осмотренных(гр 5):определены группы здоровья -V</t>
  </si>
  <si>
    <t>Дети-сироты</t>
  </si>
  <si>
    <t>001</t>
  </si>
  <si>
    <t>дети в возрасте 0-14 лет вкл.                                      5</t>
  </si>
  <si>
    <t xml:space="preserve">гр 6 &lt; или равна гр 5 </t>
  </si>
  <si>
    <t>002</t>
  </si>
  <si>
    <t>гр 5  &lt; или равна гр 3</t>
  </si>
  <si>
    <t>003</t>
  </si>
  <si>
    <t>гр 4  &lt; или равна гр 3</t>
  </si>
  <si>
    <t>004</t>
  </si>
  <si>
    <t>005</t>
  </si>
  <si>
    <t>Сведения  о профилактических  осмотрах и диспансеризации несовершеннолетних ВСЕГО</t>
  </si>
  <si>
    <t>Свод</t>
  </si>
  <si>
    <t>Сведения  о профилактических  осмотрах детей в возрасте 15-17 лет</t>
  </si>
  <si>
    <t>011</t>
  </si>
  <si>
    <t>012</t>
  </si>
  <si>
    <t>ГУЗ «Детская поликлиника  № 6», Волгоград</t>
  </si>
  <si>
    <t>января</t>
  </si>
  <si>
    <t>ГУЗ «Поликлиника № 18», Волгоград</t>
  </si>
  <si>
    <t>февраля</t>
  </si>
  <si>
    <t xml:space="preserve">ГУЗ "Клиническая поликлиника №28" </t>
  </si>
  <si>
    <t>марта</t>
  </si>
  <si>
    <t>ГУЗ «Поликлиника  № 30», Волгоград</t>
  </si>
  <si>
    <t>апреля</t>
  </si>
  <si>
    <t>ГУЗ «Детская поликлиника  № 5», Волгоград</t>
  </si>
  <si>
    <t>мая</t>
  </si>
  <si>
    <t>ГУЗ  «Детская больница № 1»</t>
  </si>
  <si>
    <t>июня</t>
  </si>
  <si>
    <t>ГУЗ «Детская  поликлиника  № 16», Волгоград</t>
  </si>
  <si>
    <t>июля</t>
  </si>
  <si>
    <t>ГУЗ «Детская поликлиника  № 1», Волгоград</t>
  </si>
  <si>
    <t>августа</t>
  </si>
  <si>
    <t>ГУЗ «Детская клиническая поликлиника  № 31», Волгоград</t>
  </si>
  <si>
    <t>сентября</t>
  </si>
  <si>
    <t>ГУЗ «Детская поликлиника  № 3», Волгоград</t>
  </si>
  <si>
    <t>октября</t>
  </si>
  <si>
    <t>ГУЗ «Детская клиническая поликлиника  № 15», Волгоград</t>
  </si>
  <si>
    <t>ноября</t>
  </si>
  <si>
    <t>ГБУЗ «Городская детская больница», Волжский</t>
  </si>
  <si>
    <t>декабря</t>
  </si>
  <si>
    <t>ГБУЗ «Городская детская поликлиника № 2», г. Волжский</t>
  </si>
  <si>
    <t>ГБУЗ «Алексеевская ЦРБ»</t>
  </si>
  <si>
    <t>ГБУЗ «Быковская ЦРБ»</t>
  </si>
  <si>
    <t>ГУЗ «Городищенская ЦРБ»</t>
  </si>
  <si>
    <t>ГБУЗ «Даниловская ЦРБ»</t>
  </si>
  <si>
    <t>ГБУЗ «ЦРБ Дубовского муниципального района»</t>
  </si>
  <si>
    <t>ГБУЗ «Еланская ЦРБ»</t>
  </si>
  <si>
    <t>ГБУЗ «Жирновская ЦРБ»</t>
  </si>
  <si>
    <t>ГБУЗ «Иловлинская ЦРБ»</t>
  </si>
  <si>
    <t>ГБУЗ «Калачевская ЦРБ»</t>
  </si>
  <si>
    <t>ГБУЗ "Камышинская детская городская больница"</t>
  </si>
  <si>
    <t>ГБУЗ «Киквидзенская ЦРБ»</t>
  </si>
  <si>
    <t>ГБУЗ «ЦРБ Клетского муниципального района»</t>
  </si>
  <si>
    <t>ГБУЗ «Котельниковская ЦРБ»</t>
  </si>
  <si>
    <t>ГБУЗ «ЦРБ Котовского муниципального района»</t>
  </si>
  <si>
    <t>ГБУЗ «Ленинская ЦРБ»</t>
  </si>
  <si>
    <t>ГБУЗ «Михайловская городская детская больница»</t>
  </si>
  <si>
    <t>ГБУЗ «Нехаевская ЦРБ»</t>
  </si>
  <si>
    <t>ГБУЗ «Николаевская ЦРБ»</t>
  </si>
  <si>
    <t>ГБУЗ «Новоаннинская ЦРБ»</t>
  </si>
  <si>
    <t>ГБУЗ «Новониколаевская ЦРБ»</t>
  </si>
  <si>
    <t>ГБУЗ «Октябрьская ЦРБ»</t>
  </si>
  <si>
    <t>ГБУЗ «ЦРБ Ольховского муниципального района»</t>
  </si>
  <si>
    <t>ГБУЗ «Палласовская ЦРБ»</t>
  </si>
  <si>
    <t>ГБУЗ «Кумылженская ЦРБ»</t>
  </si>
  <si>
    <t>ГБУЗ «ЦРБ Руднянского муниципального района»</t>
  </si>
  <si>
    <t>ГБУЗ «Светлоярская ЦРБ»</t>
  </si>
  <si>
    <t>ГБУЗ "Серафимовичский ЦРБ"</t>
  </si>
  <si>
    <t>ГБУЗ «Среднеахтубинская ЦРБ»</t>
  </si>
  <si>
    <t>ГБУЗ «Старополтавская ЦРБ»</t>
  </si>
  <si>
    <t>ГБУЗ «ЦРБ Суровикинского муниципального района»</t>
  </si>
  <si>
    <t>ГБУЗ «Урюпинская ЦРБ им. В.Ф.Жогова»</t>
  </si>
  <si>
    <t>ГБУЗ «Фроловская ЦРБ»</t>
  </si>
  <si>
    <t>ГБУЗ «Чернышковская ЦРБ»</t>
  </si>
  <si>
    <t>Последние изменения 02.11.2021г.</t>
  </si>
  <si>
    <t>Направлено на лечение</t>
  </si>
  <si>
    <t>Пролечено</t>
  </si>
  <si>
    <t>Всего</t>
  </si>
  <si>
    <t>13.1</t>
  </si>
  <si>
    <t>15</t>
  </si>
  <si>
    <t>16.1</t>
  </si>
  <si>
    <t>16.2</t>
  </si>
  <si>
    <t>16.3</t>
  </si>
  <si>
    <t>18.1</t>
  </si>
  <si>
    <t>19.1</t>
  </si>
  <si>
    <t xml:space="preserve">таб. 2511 </t>
  </si>
  <si>
    <t>выявлена патология</t>
  </si>
  <si>
    <t>х</t>
  </si>
  <si>
    <t>таб. 2511 профосмотры 15-17 лет</t>
  </si>
  <si>
    <t>гр.13 &lt;=гр.14</t>
  </si>
  <si>
    <t>Кол- во детей направленных на 2 этап для дообследования (чел.) из гр.16.2</t>
  </si>
  <si>
    <t>гр.17 &lt;=гр.16.2</t>
  </si>
  <si>
    <t>таб. 2511 ПО</t>
  </si>
  <si>
    <t>Названия</t>
  </si>
  <si>
    <t xml:space="preserve">дети в возрасте 0-14 лет вкл.       </t>
  </si>
  <si>
    <t>Направлено на лечение из гр 7</t>
  </si>
  <si>
    <t>Пролечено гр 7</t>
  </si>
  <si>
    <t>Направлено на лечение из гр 16</t>
  </si>
  <si>
    <t>Пролечено гр 16</t>
  </si>
  <si>
    <t>гр.5.1 меньше либо равна гр.3.1</t>
  </si>
  <si>
    <t>гр.8 &lt;=гр.7.2</t>
  </si>
  <si>
    <t>гр.16.2 &lt;=гр.16</t>
  </si>
  <si>
    <t>гр.11.1 &lt;= гр.11</t>
  </si>
  <si>
    <t>гр.12.1 &lt;=гр.12</t>
  </si>
  <si>
    <t>гр.14.2 &lt;=гр.14</t>
  </si>
  <si>
    <t>гр.14.3 &lt;=гр.14.2</t>
  </si>
  <si>
    <t>гр.15 &lt;=гр.11</t>
  </si>
  <si>
    <t>Сведения о профилактических осмотрах несовершеннолетних</t>
  </si>
  <si>
    <t>Вариант от 15.05.2023</t>
  </si>
  <si>
    <t>план 0-14 лет лист 1 E12</t>
  </si>
  <si>
    <t>план 0-17 лет лист 1 E11</t>
  </si>
  <si>
    <t>Плановое количество несовершен-нолетних в возрасте 15-17 лет лист 1 E14</t>
  </si>
  <si>
    <t xml:space="preserve">  юноши 15-17- лет лист 1 E15</t>
  </si>
  <si>
    <t>Название организации</t>
  </si>
  <si>
    <t>план инвалиды лист 1 G17</t>
  </si>
  <si>
    <t xml:space="preserve">дети сироты в стационарных учреждениях                                 </t>
  </si>
  <si>
    <t>дети,находящиеся под опекой в семьях</t>
  </si>
  <si>
    <t>Дети-сироты опекаемые</t>
  </si>
  <si>
    <t>Дети-сироты ВСЕГО</t>
  </si>
  <si>
    <t>Дети-сироты в стационарных</t>
  </si>
  <si>
    <t>гр.7 меньше либо равна гр. 3 по всем строкам</t>
  </si>
  <si>
    <t>гр.8 меньше либо равна гр. 7 по всем строкам</t>
  </si>
  <si>
    <t>гр.9 меньше либо равна гр. 7 по всем строкам</t>
  </si>
  <si>
    <t>гр.10 меньше либо равна гр. 9 по всем строкам</t>
  </si>
  <si>
    <t>гр.11 меньше либо равна гр. 7 по всем строкам</t>
  </si>
  <si>
    <t>гр.12 меньше либо равна гр. 11 по всем строкам</t>
  </si>
  <si>
    <t>из них (из гр.5)  сельских жителей</t>
  </si>
  <si>
    <t>Из них (из гр.5) с применением мобильных медицинских комплексов</t>
  </si>
  <si>
    <t>всего сироты опекаемые + в стационарных организациях С 46=С47+С48</t>
  </si>
  <si>
    <t>сироты в стационарных организациях С 8 и С48 лист 4  дети сироты</t>
  </si>
  <si>
    <t>Сироты опекаемые  С 16 и С 47 лист 4 дети сироты</t>
  </si>
  <si>
    <t>плановое количество девушки 15-17 лет лист 2 (15-17 лет) А 21</t>
  </si>
  <si>
    <t>006</t>
  </si>
  <si>
    <t>007</t>
  </si>
  <si>
    <t xml:space="preserve"> сумма  по гр.3  стр.8+стр10 равна гр.3 стр. 47</t>
  </si>
  <si>
    <t>сумма  по гр.3 стр 16+стр18 равна гр.3 стр48</t>
  </si>
  <si>
    <t>Ефимов Виталий Владимирович</t>
  </si>
  <si>
    <t>Беспалов Владислав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</si>
</sst>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3" tint="0.3999755851924192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5" tint="-0.24997711111789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0" fillId="0" borderId="0"/>
    <xf numFmtId="0" fontId="55" fillId="0" borderId="0" applyNumberFormat="0" applyFill="0" applyBorder="0" applyAlignment="0" applyProtection="0"/>
    <xf numFmtId="0" fontId="57" fillId="0" borderId="0"/>
    <xf numFmtId="0" fontId="1" fillId="0" borderId="0"/>
  </cellStyleXfs>
  <cellXfs count="237">
    <xf numFmtId="0" fontId="0" fillId="0" borderId="0" xfId="0"/>
    <xf numFmtId="0" fontId="2" fillId="0" borderId="0" xfId="0" applyFont="1"/>
    <xf numFmtId="0" fontId="3" fillId="0" borderId="0" xfId="0" applyFont="1"/>
    <xf numFmtId="0" fontId="21" fillId="0" borderId="0" xfId="0" applyFont="1"/>
    <xf numFmtId="0" fontId="4" fillId="0" borderId="0" xfId="0" applyFont="1" applyAlignment="1">
      <alignment horizontal="center"/>
    </xf>
    <xf numFmtId="164" fontId="22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7" fillId="0" borderId="0" xfId="0" applyNumberFormat="1" applyFont="1" applyProtection="1">
      <protection hidden="1"/>
    </xf>
    <xf numFmtId="0" fontId="28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vertical="center"/>
    </xf>
    <xf numFmtId="164" fontId="30" fillId="0" borderId="0" xfId="0" applyNumberFormat="1" applyFont="1" applyProtection="1">
      <protection hidden="1"/>
    </xf>
    <xf numFmtId="0" fontId="17" fillId="2" borderId="0" xfId="0" applyFont="1" applyFill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8" fillId="0" borderId="0" xfId="0" applyFont="1"/>
    <xf numFmtId="0" fontId="25" fillId="0" borderId="5" xfId="0" applyFont="1" applyBorder="1" applyAlignment="1">
      <alignment horizont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0" fillId="0" borderId="5" xfId="0" applyBorder="1" applyAlignment="1">
      <alignment wrapText="1"/>
    </xf>
    <xf numFmtId="0" fontId="14" fillId="0" borderId="0" xfId="0" applyFont="1" applyAlignment="1">
      <alignment horizontal="center" vertical="top"/>
    </xf>
    <xf numFmtId="0" fontId="3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5" xfId="0" applyFont="1" applyBorder="1" applyAlignment="1">
      <alignment wrapText="1"/>
    </xf>
    <xf numFmtId="0" fontId="21" fillId="0" borderId="5" xfId="0" applyFont="1" applyBorder="1"/>
    <xf numFmtId="0" fontId="38" fillId="0" borderId="5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39" fillId="0" borderId="5" xfId="0" applyFont="1" applyBorder="1"/>
    <xf numFmtId="0" fontId="39" fillId="0" borderId="0" xfId="0" applyFont="1"/>
    <xf numFmtId="0" fontId="21" fillId="0" borderId="5" xfId="0" applyFont="1" applyBorder="1" applyAlignment="1">
      <alignment wrapText="1"/>
    </xf>
    <xf numFmtId="0" fontId="40" fillId="0" borderId="5" xfId="0" applyFont="1" applyBorder="1" applyAlignment="1">
      <alignment wrapText="1"/>
    </xf>
    <xf numFmtId="0" fontId="41" fillId="0" borderId="5" xfId="0" applyFont="1" applyBorder="1" applyAlignment="1">
      <alignment wrapText="1"/>
    </xf>
    <xf numFmtId="0" fontId="38" fillId="0" borderId="5" xfId="0" applyFont="1" applyBorder="1" applyAlignment="1">
      <alignment horizontal="center" vertical="center"/>
    </xf>
    <xf numFmtId="49" fontId="38" fillId="0" borderId="5" xfId="0" applyNumberFormat="1" applyFont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1" fontId="0" fillId="6" borderId="5" xfId="0" applyNumberFormat="1" applyFill="1" applyBorder="1" applyAlignment="1">
      <alignment horizontal="center" vertical="center" wrapText="1"/>
    </xf>
    <xf numFmtId="0" fontId="37" fillId="6" borderId="5" xfId="0" applyFont="1" applyFill="1" applyBorder="1" applyAlignment="1">
      <alignment horizontal="center" vertical="center" wrapText="1"/>
    </xf>
    <xf numFmtId="1" fontId="37" fillId="6" borderId="5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5" borderId="5" xfId="0" applyFont="1" applyFill="1" applyBorder="1" applyAlignment="1" applyProtection="1">
      <alignment horizontal="center"/>
      <protection locked="0"/>
    </xf>
    <xf numFmtId="0" fontId="35" fillId="0" borderId="5" xfId="0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1" fontId="24" fillId="6" borderId="5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43" fillId="0" borderId="0" xfId="0" applyFont="1"/>
    <xf numFmtId="0" fontId="21" fillId="4" borderId="0" xfId="0" applyFont="1" applyFill="1" applyAlignment="1">
      <alignment vertical="center" wrapText="1"/>
    </xf>
    <xf numFmtId="0" fontId="21" fillId="7" borderId="5" xfId="0" applyFont="1" applyFill="1" applyBorder="1" applyAlignment="1">
      <alignment horizontal="center" vertical="center"/>
    </xf>
    <xf numFmtId="0" fontId="44" fillId="0" borderId="0" xfId="0" applyFont="1"/>
    <xf numFmtId="0" fontId="51" fillId="0" borderId="29" xfId="0" applyFont="1" applyBorder="1" applyAlignment="1" applyProtection="1">
      <alignment horizontal="center"/>
      <protection hidden="1"/>
    </xf>
    <xf numFmtId="0" fontId="9" fillId="0" borderId="0" xfId="0" applyFont="1"/>
    <xf numFmtId="0" fontId="52" fillId="0" borderId="0" xfId="0" applyFont="1"/>
    <xf numFmtId="0" fontId="53" fillId="0" borderId="29" xfId="0" applyFont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53" fillId="0" borderId="0" xfId="0" applyFont="1" applyAlignment="1" applyProtection="1">
      <alignment horizontal="center"/>
      <protection hidden="1"/>
    </xf>
    <xf numFmtId="0" fontId="42" fillId="0" borderId="5" xfId="1" applyFont="1" applyBorder="1" applyAlignment="1">
      <alignment horizontal="center" vertical="center"/>
    </xf>
    <xf numFmtId="0" fontId="29" fillId="0" borderId="5" xfId="0" applyFont="1" applyBorder="1" applyAlignment="1">
      <alignment vertical="center"/>
    </xf>
    <xf numFmtId="0" fontId="28" fillId="9" borderId="0" xfId="0" applyFont="1" applyFill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54" fillId="0" borderId="1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8" fillId="5" borderId="5" xfId="0" applyFont="1" applyFill="1" applyBorder="1" applyAlignment="1" applyProtection="1">
      <alignment horizontal="center" vertical="center"/>
      <protection locked="0"/>
    </xf>
    <xf numFmtId="0" fontId="15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25" fillId="0" borderId="21" xfId="0" applyFont="1" applyBorder="1" applyAlignment="1">
      <alignment horizontal="center"/>
    </xf>
    <xf numFmtId="0" fontId="24" fillId="5" borderId="21" xfId="0" applyFont="1" applyFill="1" applyBorder="1" applyAlignment="1" applyProtection="1">
      <alignment horizontal="center"/>
      <protection locked="0"/>
    </xf>
    <xf numFmtId="0" fontId="29" fillId="10" borderId="5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wrapText="1"/>
    </xf>
    <xf numFmtId="0" fontId="48" fillId="0" borderId="5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0" fillId="10" borderId="5" xfId="0" applyFill="1" applyBorder="1" applyAlignment="1">
      <alignment horizontal="center" vertical="center" wrapText="1"/>
    </xf>
    <xf numFmtId="0" fontId="29" fillId="10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24" fillId="6" borderId="21" xfId="0" applyFont="1" applyFill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4" fillId="0" borderId="0" xfId="0" applyFont="1" applyAlignment="1">
      <alignment horizontal="center"/>
    </xf>
    <xf numFmtId="0" fontId="0" fillId="0" borderId="5" xfId="0" applyBorder="1"/>
    <xf numFmtId="0" fontId="0" fillId="0" borderId="21" xfId="0" applyBorder="1"/>
    <xf numFmtId="0" fontId="0" fillId="0" borderId="10" xfId="0" applyBorder="1"/>
    <xf numFmtId="0" fontId="31" fillId="0" borderId="5" xfId="0" applyFont="1" applyBorder="1" applyAlignment="1">
      <alignment horizontal="right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/>
    <xf numFmtId="0" fontId="56" fillId="5" borderId="5" xfId="2" applyNumberFormat="1" applyFont="1" applyFill="1" applyBorder="1" applyAlignment="1" applyProtection="1">
      <alignment horizontal="center" vertical="center" wrapText="1"/>
      <protection hidden="1"/>
    </xf>
    <xf numFmtId="0" fontId="21" fillId="12" borderId="0" xfId="0" applyFont="1" applyFill="1" applyAlignment="1">
      <alignment vertical="center" wrapText="1"/>
    </xf>
    <xf numFmtId="164" fontId="21" fillId="0" borderId="0" xfId="0" applyNumberFormat="1" applyFont="1" applyProtection="1">
      <protection hidden="1"/>
    </xf>
    <xf numFmtId="0" fontId="58" fillId="0" borderId="5" xfId="3" applyFont="1" applyBorder="1" applyAlignment="1">
      <alignment horizontal="center"/>
    </xf>
    <xf numFmtId="0" fontId="60" fillId="0" borderId="10" xfId="3" applyFont="1" applyBorder="1" applyAlignment="1">
      <alignment horizontal="center" vertical="top" wrapText="1"/>
    </xf>
    <xf numFmtId="0" fontId="57" fillId="0" borderId="0" xfId="3"/>
    <xf numFmtId="0" fontId="57" fillId="0" borderId="5" xfId="3" applyBorder="1" applyAlignment="1">
      <alignment horizontal="center" vertical="center"/>
    </xf>
    <xf numFmtId="0" fontId="61" fillId="0" borderId="5" xfId="4" applyFont="1" applyBorder="1" applyAlignment="1">
      <alignment horizontal="left" vertical="justify" wrapText="1"/>
    </xf>
    <xf numFmtId="0" fontId="62" fillId="0" borderId="30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62" fillId="0" borderId="31" xfId="0" applyFont="1" applyBorder="1" applyAlignment="1">
      <alignment horizontal="center" vertical="center" wrapText="1"/>
    </xf>
    <xf numFmtId="0" fontId="62" fillId="0" borderId="32" xfId="0" applyFont="1" applyBorder="1" applyAlignment="1">
      <alignment horizontal="center" vertical="center" wrapText="1"/>
    </xf>
    <xf numFmtId="0" fontId="63" fillId="0" borderId="0" xfId="3" applyFont="1"/>
    <xf numFmtId="0" fontId="64" fillId="0" borderId="0" xfId="3" applyFont="1"/>
    <xf numFmtId="0" fontId="64" fillId="0" borderId="0" xfId="3" applyFont="1" applyAlignment="1">
      <alignment horizontal="center"/>
    </xf>
    <xf numFmtId="0" fontId="59" fillId="0" borderId="5" xfId="3" applyFont="1" applyBorder="1" applyAlignment="1">
      <alignment horizontal="center" vertical="top" wrapText="1"/>
    </xf>
    <xf numFmtId="0" fontId="59" fillId="0" borderId="10" xfId="3" applyFont="1" applyBorder="1" applyAlignment="1">
      <alignment horizontal="center" vertical="top" wrapText="1"/>
    </xf>
    <xf numFmtId="0" fontId="59" fillId="0" borderId="10" xfId="3" applyFont="1" applyBorder="1" applyAlignment="1">
      <alignment horizontal="left" vertical="top" wrapText="1"/>
    </xf>
    <xf numFmtId="0" fontId="28" fillId="11" borderId="5" xfId="0" applyFont="1" applyFill="1" applyBorder="1" applyAlignment="1">
      <alignment horizontal="center" vertical="center"/>
    </xf>
    <xf numFmtId="0" fontId="28" fillId="13" borderId="5" xfId="0" applyFont="1" applyFill="1" applyBorder="1" applyAlignment="1">
      <alignment horizontal="center" vertical="center"/>
    </xf>
    <xf numFmtId="1" fontId="28" fillId="6" borderId="5" xfId="0" applyNumberFormat="1" applyFont="1" applyFill="1" applyBorder="1" applyAlignment="1">
      <alignment horizontal="center" vertical="center"/>
    </xf>
    <xf numFmtId="0" fontId="62" fillId="10" borderId="25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21" fillId="15" borderId="5" xfId="0" applyFont="1" applyFill="1" applyBorder="1" applyAlignment="1">
      <alignment horizontal="center" vertical="center" wrapText="1"/>
    </xf>
    <xf numFmtId="0" fontId="0" fillId="5" borderId="0" xfId="0" applyFill="1"/>
    <xf numFmtId="0" fontId="56" fillId="16" borderId="5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10" borderId="5" xfId="0" applyFont="1" applyFill="1" applyBorder="1" applyAlignment="1">
      <alignment horizontal="center" vertical="center" wrapText="1"/>
    </xf>
    <xf numFmtId="0" fontId="41" fillId="10" borderId="5" xfId="0" applyFont="1" applyFill="1" applyBorder="1" applyAlignment="1">
      <alignment horizontal="center" vertical="center" wrapText="1"/>
    </xf>
    <xf numFmtId="0" fontId="28" fillId="17" borderId="5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>
      <alignment vertical="center" wrapText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0" fillId="11" borderId="10" xfId="0" applyFill="1" applyBorder="1" applyAlignment="1" applyProtection="1">
      <alignment horizontal="center" vertical="center" wrapText="1"/>
    </xf>
    <xf numFmtId="0" fontId="0" fillId="11" borderId="5" xfId="0" applyFill="1" applyBorder="1" applyAlignment="1" applyProtection="1">
      <alignment horizontal="center" vertical="center" wrapText="1"/>
    </xf>
    <xf numFmtId="0" fontId="28" fillId="10" borderId="5" xfId="0" applyFont="1" applyFill="1" applyBorder="1" applyAlignment="1" applyProtection="1">
      <alignment horizontal="center" vertical="center"/>
    </xf>
    <xf numFmtId="0" fontId="28" fillId="11" borderId="5" xfId="0" applyFont="1" applyFill="1" applyBorder="1" applyAlignment="1" applyProtection="1">
      <alignment horizontal="center" vertical="center"/>
    </xf>
    <xf numFmtId="0" fontId="28" fillId="13" borderId="5" xfId="0" applyFont="1" applyFill="1" applyBorder="1" applyAlignment="1" applyProtection="1">
      <alignment horizontal="center" vertical="center"/>
    </xf>
    <xf numFmtId="0" fontId="28" fillId="17" borderId="5" xfId="0" applyFont="1" applyFill="1" applyBorder="1" applyAlignment="1" applyProtection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21" fillId="0" borderId="5" xfId="0" applyFont="1" applyBorder="1"/>
    <xf numFmtId="0" fontId="32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1" fillId="5" borderId="13" xfId="0" applyFont="1" applyFill="1" applyBorder="1" applyAlignment="1" applyProtection="1">
      <alignment horizontal="center" vertical="center"/>
      <protection locked="0"/>
    </xf>
    <xf numFmtId="0" fontId="21" fillId="5" borderId="3" xfId="0" applyFont="1" applyFill="1" applyBorder="1" applyAlignment="1" applyProtection="1">
      <alignment horizontal="center" vertical="center"/>
      <protection locked="0"/>
    </xf>
    <xf numFmtId="0" fontId="21" fillId="5" borderId="4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2" fillId="14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1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1" fillId="5" borderId="15" xfId="0" applyFont="1" applyFill="1" applyBorder="1" applyAlignment="1" applyProtection="1">
      <alignment horizontal="center" vertical="center"/>
      <protection locked="0"/>
    </xf>
    <xf numFmtId="0" fontId="21" fillId="5" borderId="5" xfId="0" applyFont="1" applyFill="1" applyBorder="1" applyAlignment="1" applyProtection="1">
      <alignment horizontal="center" vertical="center"/>
      <protection locked="0"/>
    </xf>
    <xf numFmtId="0" fontId="21" fillId="5" borderId="16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1" fillId="5" borderId="9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5" borderId="2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 wrapText="1"/>
    </xf>
    <xf numFmtId="0" fontId="39" fillId="0" borderId="0" xfId="0" applyFont="1" applyAlignment="1" applyProtection="1">
      <alignment horizontal="center" vertical="center" wrapText="1"/>
      <protection hidden="1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5" fillId="0" borderId="2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29" fillId="10" borderId="5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6" fillId="5" borderId="15" xfId="2" applyFont="1" applyFill="1" applyBorder="1" applyAlignment="1" applyProtection="1">
      <alignment horizontal="center" vertical="center"/>
      <protection hidden="1"/>
    </xf>
    <xf numFmtId="0" fontId="56" fillId="5" borderId="5" xfId="2" applyFont="1" applyFill="1" applyBorder="1" applyAlignment="1" applyProtection="1">
      <alignment horizontal="center" vertical="center"/>
      <protection hidden="1"/>
    </xf>
    <xf numFmtId="0" fontId="56" fillId="5" borderId="21" xfId="2" applyFont="1" applyFill="1" applyBorder="1" applyAlignment="1" applyProtection="1">
      <alignment horizontal="center" vertical="center"/>
      <protection hidden="1"/>
    </xf>
    <xf numFmtId="0" fontId="56" fillId="5" borderId="16" xfId="2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6" fillId="5" borderId="13" xfId="2" applyFont="1" applyFill="1" applyBorder="1" applyAlignment="1" applyProtection="1">
      <alignment horizontal="center" vertical="center"/>
      <protection hidden="1"/>
    </xf>
    <xf numFmtId="0" fontId="56" fillId="5" borderId="3" xfId="2" applyFont="1" applyFill="1" applyBorder="1" applyAlignment="1" applyProtection="1">
      <alignment horizontal="center" vertical="center"/>
      <protection hidden="1"/>
    </xf>
    <xf numFmtId="0" fontId="56" fillId="5" borderId="22" xfId="2" applyFont="1" applyFill="1" applyBorder="1" applyAlignment="1" applyProtection="1">
      <alignment horizontal="center" vertical="center"/>
      <protection hidden="1"/>
    </xf>
    <xf numFmtId="0" fontId="56" fillId="5" borderId="4" xfId="2" applyFont="1" applyFill="1" applyBorder="1" applyAlignment="1" applyProtection="1">
      <alignment horizontal="center" vertical="center"/>
      <protection hidden="1"/>
    </xf>
    <xf numFmtId="0" fontId="34" fillId="0" borderId="26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6" fillId="0" borderId="26" xfId="0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14" fillId="0" borderId="11" xfId="0" applyFont="1" applyBorder="1" applyAlignment="1">
      <alignment horizontal="center" vertical="top"/>
    </xf>
    <xf numFmtId="0" fontId="56" fillId="5" borderId="23" xfId="2" applyFont="1" applyFill="1" applyBorder="1" applyAlignment="1" applyProtection="1">
      <alignment horizontal="center" vertical="center" wrapText="1"/>
      <protection hidden="1"/>
    </xf>
    <xf numFmtId="0" fontId="56" fillId="5" borderId="24" xfId="2" applyFont="1" applyFill="1" applyBorder="1" applyAlignment="1" applyProtection="1">
      <alignment horizontal="center" vertical="center" wrapText="1"/>
      <protection hidden="1"/>
    </xf>
    <xf numFmtId="0" fontId="56" fillId="5" borderId="25" xfId="2" applyFont="1" applyFill="1" applyBorder="1" applyAlignment="1" applyProtection="1">
      <alignment horizontal="center" vertical="center" wrapText="1"/>
      <protection hidden="1"/>
    </xf>
    <xf numFmtId="0" fontId="29" fillId="0" borderId="5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6" fillId="5" borderId="9" xfId="2" applyFont="1" applyFill="1" applyBorder="1" applyAlignment="1" applyProtection="1">
      <alignment horizontal="center" vertical="center"/>
      <protection hidden="1"/>
    </xf>
    <xf numFmtId="0" fontId="56" fillId="5" borderId="1" xfId="2" applyFont="1" applyFill="1" applyBorder="1" applyAlignment="1" applyProtection="1">
      <alignment horizontal="center" vertical="center"/>
      <protection hidden="1"/>
    </xf>
    <xf numFmtId="0" fontId="56" fillId="5" borderId="19" xfId="2" applyFont="1" applyFill="1" applyBorder="1" applyAlignment="1" applyProtection="1">
      <alignment horizontal="center" vertical="center"/>
      <protection hidden="1"/>
    </xf>
    <xf numFmtId="0" fontId="56" fillId="5" borderId="2" xfId="2" applyFont="1" applyFill="1" applyBorder="1" applyAlignment="1" applyProtection="1">
      <alignment horizontal="center" vertical="center"/>
      <protection hidden="1"/>
    </xf>
    <xf numFmtId="0" fontId="6" fillId="0" borderId="5" xfId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5" fillId="5" borderId="23" xfId="2" applyFill="1" applyBorder="1" applyAlignment="1" applyProtection="1">
      <alignment horizontal="center" vertical="center" wrapText="1"/>
      <protection hidden="1"/>
    </xf>
    <xf numFmtId="0" fontId="55" fillId="5" borderId="24" xfId="2" applyFill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>
      <alignment horizontal="center" vertical="top"/>
    </xf>
    <xf numFmtId="0" fontId="6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48" fillId="8" borderId="5" xfId="0" applyFont="1" applyFill="1" applyBorder="1" applyAlignment="1">
      <alignment horizontal="center" vertical="center" wrapText="1"/>
    </xf>
    <xf numFmtId="0" fontId="49" fillId="8" borderId="5" xfId="0" applyFont="1" applyFill="1" applyBorder="1" applyAlignment="1">
      <alignment horizontal="center" vertical="center" wrapText="1"/>
    </xf>
    <xf numFmtId="49" fontId="50" fillId="0" borderId="5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5" fillId="5" borderId="25" xfId="2" applyFill="1" applyBorder="1" applyAlignment="1" applyProtection="1">
      <alignment horizontal="center" vertical="center" wrapText="1"/>
      <protection hidden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5">
    <cellStyle name="Гиперссылка" xfId="2" builtinId="8"/>
    <cellStyle name="Обычный" xfId="0" builtinId="0"/>
    <cellStyle name="Обычный 2" xfId="4"/>
    <cellStyle name="Обычный 4" xfId="1"/>
    <cellStyle name="Обычный_СВОД Планируемые расходы по платным мед.услугам (ОБРАЗЕЦ СОБРАТЬ СТРОКИ)" xfId="3"/>
  </cellStyles>
  <dxfs count="1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999FF"/>
      <color rgb="FFFFFFCC"/>
      <color rgb="FF6600FF"/>
      <color rgb="FF9966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39997558519241921"/>
    <pageSetUpPr fitToPage="1"/>
  </sheetPr>
  <dimension ref="A1:BD32"/>
  <sheetViews>
    <sheetView topLeftCell="E1" zoomScale="55" zoomScaleNormal="55" workbookViewId="0">
      <selection activeCell="AA16" sqref="AA16"/>
    </sheetView>
  </sheetViews>
  <sheetFormatPr defaultRowHeight="15" x14ac:dyDescent="0.25"/>
  <cols>
    <col min="1" max="1" width="7.28515625" customWidth="1"/>
    <col min="2" max="2" width="32.140625" customWidth="1"/>
    <col min="3" max="3" width="16.28515625" customWidth="1"/>
    <col min="4" max="4" width="11" customWidth="1"/>
    <col min="5" max="5" width="11.85546875" customWidth="1"/>
    <col min="6" max="6" width="10" customWidth="1"/>
    <col min="7" max="9" width="13.85546875" customWidth="1"/>
    <col min="10" max="10" width="13.140625" customWidth="1"/>
    <col min="11" max="11" width="10.42578125" customWidth="1"/>
    <col min="12" max="12" width="11.7109375" customWidth="1"/>
    <col min="13" max="13" width="12.85546875" customWidth="1"/>
    <col min="14" max="14" width="11" customWidth="1"/>
    <col min="15" max="15" width="10.85546875" customWidth="1"/>
    <col min="16" max="16" width="10.5703125" customWidth="1"/>
    <col min="17" max="17" width="10.42578125" customWidth="1"/>
    <col min="18" max="18" width="9.140625" customWidth="1"/>
    <col min="19" max="19" width="10.5703125" customWidth="1"/>
    <col min="20" max="20" width="9.140625" customWidth="1"/>
    <col min="21" max="21" width="10.140625" customWidth="1"/>
    <col min="22" max="22" width="10.85546875" customWidth="1"/>
    <col min="23" max="23" width="11.5703125" customWidth="1"/>
    <col min="24" max="24" width="12.140625" customWidth="1"/>
    <col min="25" max="25" width="12.85546875" customWidth="1"/>
    <col min="26" max="26" width="14.85546875" customWidth="1"/>
    <col min="27" max="27" width="18.140625" customWidth="1"/>
    <col min="28" max="28" width="41.140625" customWidth="1"/>
    <col min="29" max="29" width="16" hidden="1" customWidth="1"/>
    <col min="30" max="30" width="14.28515625" hidden="1" customWidth="1"/>
    <col min="31" max="31" width="9.140625" hidden="1" customWidth="1"/>
    <col min="32" max="56" width="10" hidden="1" customWidth="1"/>
  </cols>
  <sheetData>
    <row r="1" spans="1:56" x14ac:dyDescent="0.25">
      <c r="A1" s="5" t="str">
        <f>IF(C1=TRUE,DATEVALUE(F3&amp;"."&amp;VLOOKUP(G3,Help!$H$1:$I$12,2,0)&amp;"."&amp;I3),"22.07.1966")</f>
        <v>22.07.1966</v>
      </c>
      <c r="B1" s="112" t="s">
        <v>308</v>
      </c>
      <c r="C1" s="5" t="str">
        <f>IF(E1=TRUE,DATEVALUE(H3&amp;"."&amp;VLOOKUP(I3,Help!$H$1:$I$12,2,0)&amp;"."&amp;K3),"22.07.1966")</f>
        <v>22.07.1966</v>
      </c>
      <c r="D1" s="6" t="e">
        <f>H3&amp;"."&amp;VLOOKUP(I3,Help!$H$1:$I$12,2,0)&amp;"."&amp;K3</f>
        <v>#N/A</v>
      </c>
      <c r="E1" s="5" t="b">
        <f>AND(H3&lt;&gt;0,I3&lt;&gt;0,K3&lt;&gt;0)</f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</row>
    <row r="2" spans="1:56" ht="45" customHeight="1" x14ac:dyDescent="0.3">
      <c r="A2" s="3"/>
      <c r="B2" s="3"/>
      <c r="C2" s="3"/>
      <c r="D2" s="1"/>
      <c r="E2" s="167" t="s">
        <v>307</v>
      </c>
      <c r="F2" s="167"/>
      <c r="G2" s="167"/>
      <c r="H2" s="167"/>
      <c r="I2" s="167"/>
      <c r="J2" s="167"/>
      <c r="K2" s="167"/>
      <c r="L2" s="167"/>
      <c r="M2" s="2"/>
      <c r="N2" s="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ht="18.75" x14ac:dyDescent="0.3">
      <c r="A3" s="3"/>
      <c r="B3" s="1"/>
      <c r="C3" s="1"/>
      <c r="D3" s="4"/>
      <c r="E3" s="170" t="s">
        <v>0</v>
      </c>
      <c r="F3" s="170"/>
      <c r="G3" s="132">
        <v>26</v>
      </c>
      <c r="H3" s="132" t="s">
        <v>233</v>
      </c>
      <c r="I3" s="132">
        <v>2024</v>
      </c>
      <c r="J3" s="2"/>
      <c r="K3" s="4"/>
      <c r="L3" s="2"/>
      <c r="M3" s="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6" ht="23.25" x14ac:dyDescent="0.35">
      <c r="A4" s="65"/>
      <c r="B4" s="68"/>
      <c r="C4" s="68"/>
      <c r="D4" s="68"/>
      <c r="E4" s="68"/>
      <c r="F4" s="68"/>
      <c r="G4" s="69" t="s">
        <v>1</v>
      </c>
      <c r="H4" s="69" t="s">
        <v>2</v>
      </c>
      <c r="I4" s="69" t="s">
        <v>3</v>
      </c>
      <c r="J4" s="68"/>
      <c r="K4" s="68"/>
      <c r="L4" s="68"/>
      <c r="M4" s="68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</row>
    <row r="5" spans="1:56" ht="20.25" x14ac:dyDescent="0.25">
      <c r="A5" s="3"/>
      <c r="B5" s="3"/>
      <c r="C5" s="168" t="s">
        <v>257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5.75" x14ac:dyDescent="0.25">
      <c r="A6" s="3"/>
      <c r="B6" s="3"/>
      <c r="C6" s="3"/>
      <c r="D6" s="3"/>
      <c r="E6" s="3"/>
      <c r="F6" s="3"/>
      <c r="G6" s="3"/>
      <c r="H6" s="169" t="s">
        <v>4</v>
      </c>
      <c r="I6" s="169"/>
      <c r="J6" s="16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72.75" customHeight="1" x14ac:dyDescent="0.25">
      <c r="A7" s="156" t="s">
        <v>5</v>
      </c>
      <c r="B7" s="156" t="s">
        <v>6</v>
      </c>
      <c r="C7" s="183" t="s">
        <v>7</v>
      </c>
      <c r="D7" s="184"/>
      <c r="E7" s="184"/>
      <c r="F7" s="184"/>
      <c r="G7" s="184"/>
      <c r="H7" s="159" t="s">
        <v>8</v>
      </c>
      <c r="I7" s="159"/>
      <c r="J7" s="159"/>
      <c r="K7" s="159" t="s">
        <v>9</v>
      </c>
      <c r="L7" s="159"/>
      <c r="M7" s="159"/>
      <c r="N7" s="159"/>
      <c r="O7" s="159"/>
      <c r="P7" s="159"/>
      <c r="Q7" s="159"/>
      <c r="R7" s="159"/>
      <c r="S7" s="159"/>
      <c r="T7" s="159" t="s">
        <v>10</v>
      </c>
      <c r="U7" s="159"/>
      <c r="V7" s="159"/>
      <c r="W7" s="159"/>
      <c r="X7" s="159" t="s">
        <v>11</v>
      </c>
      <c r="Y7" s="159"/>
      <c r="Z7" s="158" t="s">
        <v>12</v>
      </c>
      <c r="AA7" s="158" t="s">
        <v>13</v>
      </c>
      <c r="AB7" s="157" t="s">
        <v>14</v>
      </c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</row>
    <row r="8" spans="1:56" ht="28.5" x14ac:dyDescent="0.25">
      <c r="A8" s="156"/>
      <c r="B8" s="156"/>
      <c r="C8" s="181" t="s">
        <v>15</v>
      </c>
      <c r="D8" s="78" t="s">
        <v>16</v>
      </c>
      <c r="E8" s="181" t="s">
        <v>17</v>
      </c>
      <c r="F8" s="181" t="s">
        <v>18</v>
      </c>
      <c r="G8" s="181" t="s">
        <v>19</v>
      </c>
      <c r="H8" s="151" t="s">
        <v>20</v>
      </c>
      <c r="I8" s="181" t="s">
        <v>326</v>
      </c>
      <c r="J8" s="154" t="s">
        <v>327</v>
      </c>
      <c r="K8" s="151">
        <v>1</v>
      </c>
      <c r="L8" s="151">
        <v>2</v>
      </c>
      <c r="M8" s="151">
        <v>3</v>
      </c>
      <c r="N8" s="151" t="s">
        <v>22</v>
      </c>
      <c r="O8" s="151"/>
      <c r="P8" s="151">
        <v>4</v>
      </c>
      <c r="Q8" s="152" t="s">
        <v>23</v>
      </c>
      <c r="R8" s="151">
        <v>5</v>
      </c>
      <c r="S8" s="152" t="s">
        <v>24</v>
      </c>
      <c r="T8" s="153" t="s">
        <v>25</v>
      </c>
      <c r="U8" s="153" t="s">
        <v>26</v>
      </c>
      <c r="V8" s="153" t="s">
        <v>27</v>
      </c>
      <c r="W8" s="153"/>
      <c r="X8" s="161" t="s">
        <v>28</v>
      </c>
      <c r="Y8" s="153" t="s">
        <v>29</v>
      </c>
      <c r="Z8" s="158"/>
      <c r="AA8" s="158"/>
      <c r="AB8" s="157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</row>
    <row r="9" spans="1:56" ht="92.25" customHeight="1" x14ac:dyDescent="0.25">
      <c r="A9" s="156"/>
      <c r="B9" s="156"/>
      <c r="C9" s="181"/>
      <c r="D9" s="78" t="s">
        <v>30</v>
      </c>
      <c r="E9" s="181"/>
      <c r="F9" s="181"/>
      <c r="G9" s="181"/>
      <c r="H9" s="151"/>
      <c r="I9" s="181"/>
      <c r="J9" s="154"/>
      <c r="K9" s="151"/>
      <c r="L9" s="151"/>
      <c r="M9" s="151"/>
      <c r="N9" s="29" t="s">
        <v>31</v>
      </c>
      <c r="O9" s="29" t="s">
        <v>32</v>
      </c>
      <c r="P9" s="151"/>
      <c r="Q9" s="152"/>
      <c r="R9" s="151"/>
      <c r="S9" s="152"/>
      <c r="T9" s="160"/>
      <c r="U9" s="153"/>
      <c r="V9" s="54" t="s">
        <v>33</v>
      </c>
      <c r="W9" s="54" t="s">
        <v>34</v>
      </c>
      <c r="X9" s="161"/>
      <c r="Y9" s="153"/>
      <c r="Z9" s="158"/>
      <c r="AA9" s="158"/>
      <c r="AB9" s="157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</row>
    <row r="10" spans="1:56" x14ac:dyDescent="0.25">
      <c r="A10" s="30"/>
      <c r="B10" s="30"/>
      <c r="C10" s="38">
        <v>1</v>
      </c>
      <c r="D10" s="38">
        <v>2</v>
      </c>
      <c r="E10" s="38">
        <v>3</v>
      </c>
      <c r="F10" s="39" t="s">
        <v>35</v>
      </c>
      <c r="G10" s="38">
        <v>4</v>
      </c>
      <c r="H10" s="31">
        <v>5</v>
      </c>
      <c r="I10" s="39" t="s">
        <v>36</v>
      </c>
      <c r="J10" s="31">
        <v>6</v>
      </c>
      <c r="K10" s="31">
        <v>7</v>
      </c>
      <c r="L10" s="31">
        <v>8</v>
      </c>
      <c r="M10" s="31">
        <v>9</v>
      </c>
      <c r="N10" s="39" t="s">
        <v>37</v>
      </c>
      <c r="O10" s="39" t="s">
        <v>38</v>
      </c>
      <c r="P10" s="31">
        <v>10</v>
      </c>
      <c r="Q10" s="39" t="s">
        <v>39</v>
      </c>
      <c r="R10" s="31">
        <v>11</v>
      </c>
      <c r="S10" s="39" t="s">
        <v>40</v>
      </c>
      <c r="T10" s="31">
        <v>12</v>
      </c>
      <c r="U10" s="31">
        <v>13</v>
      </c>
      <c r="V10" s="31">
        <v>14</v>
      </c>
      <c r="W10" s="31">
        <v>15</v>
      </c>
      <c r="X10" s="31">
        <v>16</v>
      </c>
      <c r="Y10" s="31">
        <v>17</v>
      </c>
      <c r="Z10" s="31">
        <v>18</v>
      </c>
      <c r="AA10" s="31">
        <v>19</v>
      </c>
      <c r="AB10" s="157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</row>
    <row r="11" spans="1:56" ht="34.5" customHeight="1" x14ac:dyDescent="0.25">
      <c r="A11" s="33"/>
      <c r="B11" s="33" t="s">
        <v>41</v>
      </c>
      <c r="C11" s="40">
        <f>C12+C14</f>
        <v>1755</v>
      </c>
      <c r="D11" s="40">
        <f>D12+D14</f>
        <v>28</v>
      </c>
      <c r="E11" s="40">
        <f>E12+E14</f>
        <v>1726</v>
      </c>
      <c r="F11" s="40">
        <f>SUM(F12,F14)</f>
        <v>1726</v>
      </c>
      <c r="G11" s="40">
        <f>G12+G14</f>
        <v>28</v>
      </c>
      <c r="H11" s="40">
        <f t="shared" ref="H11:H16" si="0">K11+L11+M11+P11+R11</f>
        <v>1662</v>
      </c>
      <c r="I11" s="40">
        <f t="shared" ref="I11:AA11" si="1">I12+I14</f>
        <v>1662</v>
      </c>
      <c r="J11" s="40">
        <f t="shared" si="1"/>
        <v>0</v>
      </c>
      <c r="K11" s="40">
        <f t="shared" si="1"/>
        <v>36</v>
      </c>
      <c r="L11" s="40">
        <f t="shared" si="1"/>
        <v>1527</v>
      </c>
      <c r="M11" s="40">
        <f t="shared" si="1"/>
        <v>71</v>
      </c>
      <c r="N11" s="62" t="s">
        <v>46</v>
      </c>
      <c r="O11" s="62" t="s">
        <v>46</v>
      </c>
      <c r="P11" s="40">
        <f t="shared" si="1"/>
        <v>28</v>
      </c>
      <c r="Q11" s="40">
        <f t="shared" si="1"/>
        <v>28</v>
      </c>
      <c r="R11" s="40">
        <f t="shared" si="1"/>
        <v>0</v>
      </c>
      <c r="S11" s="40">
        <f t="shared" si="1"/>
        <v>0</v>
      </c>
      <c r="T11" s="40">
        <f t="shared" si="1"/>
        <v>558</v>
      </c>
      <c r="U11" s="40">
        <f t="shared" si="1"/>
        <v>616</v>
      </c>
      <c r="V11" s="40">
        <f t="shared" si="1"/>
        <v>54</v>
      </c>
      <c r="W11" s="40">
        <f t="shared" si="1"/>
        <v>12</v>
      </c>
      <c r="X11" s="40">
        <f t="shared" si="1"/>
        <v>1476</v>
      </c>
      <c r="Y11" s="40">
        <f t="shared" si="1"/>
        <v>492</v>
      </c>
      <c r="Z11" s="40">
        <f t="shared" si="1"/>
        <v>64</v>
      </c>
      <c r="AA11" s="40">
        <f t="shared" si="1"/>
        <v>49</v>
      </c>
      <c r="AB11" s="16" t="str">
        <f>IF(AE11&gt;0,"гр.2 &gt; гр.1 по строке «"&amp;AD11&amp;"»","ОК")</f>
        <v>ОК</v>
      </c>
      <c r="AC11" s="59" t="s">
        <v>42</v>
      </c>
      <c r="AD11" s="17" t="str">
        <f t="shared" ref="AD11:AD24" si="2">IF(AE11&gt;0,INDEX($A$12:$A$16,AE11,1),CHAR(151))</f>
        <v>—</v>
      </c>
      <c r="AE11" s="18">
        <f t="shared" ref="AE11:AE24" si="3">IF(ISERROR(MATCH(FALSE,AF11:AJ11,0)),0,MATCH(FALSE,AF11:AJ11,0))</f>
        <v>0</v>
      </c>
      <c r="AF11" s="18" t="b">
        <f>$D12&lt;=$C12</f>
        <v>1</v>
      </c>
      <c r="AG11" s="18" t="b">
        <f>$D13&lt;=$C13</f>
        <v>1</v>
      </c>
      <c r="AH11" s="18" t="b">
        <f>$D14&lt;=$C14</f>
        <v>1</v>
      </c>
      <c r="AI11" s="18" t="b">
        <f>$D15&lt;=$C15</f>
        <v>1</v>
      </c>
      <c r="AJ11" s="18" t="b">
        <f>$D16&lt;=$C16</f>
        <v>1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</row>
    <row r="12" spans="1:56" ht="30" x14ac:dyDescent="0.25">
      <c r="A12" s="30">
        <v>1</v>
      </c>
      <c r="B12" s="35" t="s">
        <v>43</v>
      </c>
      <c r="C12" s="86">
        <v>1390</v>
      </c>
      <c r="D12" s="86">
        <v>21</v>
      </c>
      <c r="E12" s="128">
        <f>IFERROR(VLOOKUP($C$5,'план 2024'!$B$2:$H$45,3,FALSE),0)</f>
        <v>1361</v>
      </c>
      <c r="F12" s="86">
        <v>1361</v>
      </c>
      <c r="G12" s="86">
        <v>21</v>
      </c>
      <c r="H12" s="40">
        <f t="shared" si="0"/>
        <v>1297</v>
      </c>
      <c r="I12" s="86">
        <v>1297</v>
      </c>
      <c r="J12" s="86"/>
      <c r="K12" s="86">
        <v>25</v>
      </c>
      <c r="L12" s="86">
        <v>1206</v>
      </c>
      <c r="M12" s="86">
        <v>45</v>
      </c>
      <c r="N12" s="62" t="s">
        <v>46</v>
      </c>
      <c r="O12" s="62" t="s">
        <v>46</v>
      </c>
      <c r="P12" s="86">
        <v>21</v>
      </c>
      <c r="Q12" s="86">
        <v>21</v>
      </c>
      <c r="R12" s="86"/>
      <c r="S12" s="86"/>
      <c r="T12" s="86">
        <v>420</v>
      </c>
      <c r="U12" s="86">
        <v>416</v>
      </c>
      <c r="V12" s="86">
        <v>29</v>
      </c>
      <c r="W12" s="86">
        <v>10</v>
      </c>
      <c r="X12" s="86">
        <v>1160</v>
      </c>
      <c r="Y12" s="90">
        <v>392</v>
      </c>
      <c r="Z12" s="90">
        <v>48</v>
      </c>
      <c r="AA12" s="90">
        <v>37</v>
      </c>
      <c r="AB12" s="16" t="str">
        <f>IF(AE12&gt;0,"гр.3 &gt; гр.1 по строке «"&amp;AD12&amp;"»","ОК")</f>
        <v>ОК</v>
      </c>
      <c r="AC12" s="59" t="s">
        <v>44</v>
      </c>
      <c r="AD12" s="17" t="str">
        <f t="shared" si="2"/>
        <v>—</v>
      </c>
      <c r="AE12" s="18">
        <f t="shared" si="3"/>
        <v>0</v>
      </c>
      <c r="AF12" s="18" t="b">
        <f>$E12&lt;=$C12</f>
        <v>1</v>
      </c>
      <c r="AG12" s="18" t="b">
        <f>$E13&lt;=$C13</f>
        <v>1</v>
      </c>
      <c r="AH12" s="18" t="b">
        <f>$E14&lt;=$C14</f>
        <v>1</v>
      </c>
      <c r="AI12" s="18" t="b">
        <f>$E15&lt;=$C15</f>
        <v>1</v>
      </c>
      <c r="AJ12" s="18" t="b">
        <f>$E16&lt;=$C16</f>
        <v>1</v>
      </c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</row>
    <row r="13" spans="1:56" ht="30" x14ac:dyDescent="0.25">
      <c r="A13" s="30">
        <v>2</v>
      </c>
      <c r="B13" s="35" t="s">
        <v>45</v>
      </c>
      <c r="C13" s="86">
        <v>67</v>
      </c>
      <c r="D13" s="86">
        <v>0</v>
      </c>
      <c r="E13" s="86">
        <v>67</v>
      </c>
      <c r="F13" s="86">
        <v>67</v>
      </c>
      <c r="G13" s="86">
        <v>0</v>
      </c>
      <c r="H13" s="40">
        <f t="shared" si="0"/>
        <v>67</v>
      </c>
      <c r="I13" s="86">
        <v>67</v>
      </c>
      <c r="J13" s="86"/>
      <c r="K13" s="86"/>
      <c r="L13" s="86">
        <v>66</v>
      </c>
      <c r="M13" s="86">
        <v>1</v>
      </c>
      <c r="N13" s="62" t="s">
        <v>46</v>
      </c>
      <c r="O13" s="62" t="s">
        <v>46</v>
      </c>
      <c r="P13" s="86"/>
      <c r="Q13" s="86"/>
      <c r="R13" s="86"/>
      <c r="S13" s="86"/>
      <c r="T13" s="62" t="s">
        <v>46</v>
      </c>
      <c r="U13" s="62" t="s">
        <v>46</v>
      </c>
      <c r="V13" s="62" t="s">
        <v>46</v>
      </c>
      <c r="W13" s="62" t="s">
        <v>46</v>
      </c>
      <c r="X13" s="86">
        <v>67</v>
      </c>
      <c r="Y13" s="90">
        <v>51</v>
      </c>
      <c r="Z13" s="90"/>
      <c r="AA13" s="90"/>
      <c r="AB13" s="16" t="str">
        <f>IF(AE13&gt;0,"гр.3.1 &gt; гр.3 по строке «"&amp;AD13&amp;"»","ОК")</f>
        <v>ОК</v>
      </c>
      <c r="AC13" s="59" t="s">
        <v>47</v>
      </c>
      <c r="AD13" s="17" t="str">
        <f t="shared" si="2"/>
        <v>—</v>
      </c>
      <c r="AE13" s="18">
        <f t="shared" si="3"/>
        <v>0</v>
      </c>
      <c r="AF13" s="18" t="b">
        <f>$F12&lt;=$E12</f>
        <v>1</v>
      </c>
      <c r="AG13" s="18" t="b">
        <f>$F13&lt;=$E13</f>
        <v>1</v>
      </c>
      <c r="AH13" s="18" t="b">
        <f>$F14&lt;=$E14</f>
        <v>1</v>
      </c>
      <c r="AI13" s="18" t="b">
        <f>$F15&lt;=$E15</f>
        <v>1</v>
      </c>
      <c r="AJ13" s="18" t="b">
        <f>$F16&lt;=$E16</f>
        <v>1</v>
      </c>
      <c r="AK13" s="3"/>
      <c r="AL13" s="3"/>
      <c r="AM13" s="3"/>
      <c r="AN13" s="3"/>
      <c r="AO13" s="3"/>
      <c r="AP13" s="3"/>
      <c r="AQ13" s="3"/>
    </row>
    <row r="14" spans="1:56" ht="30" x14ac:dyDescent="0.25">
      <c r="A14" s="30">
        <v>3</v>
      </c>
      <c r="B14" s="35" t="s">
        <v>48</v>
      </c>
      <c r="C14" s="86">
        <v>365</v>
      </c>
      <c r="D14" s="86">
        <v>7</v>
      </c>
      <c r="E14" s="128">
        <f>IFERROR(VLOOKUP($C$5,'план 2024'!$B$2:$H$45,5,FALSE),0)</f>
        <v>365</v>
      </c>
      <c r="F14" s="86">
        <v>365</v>
      </c>
      <c r="G14" s="86">
        <v>7</v>
      </c>
      <c r="H14" s="40">
        <f t="shared" si="0"/>
        <v>365</v>
      </c>
      <c r="I14" s="86">
        <v>365</v>
      </c>
      <c r="J14" s="86"/>
      <c r="K14" s="86">
        <v>11</v>
      </c>
      <c r="L14" s="86">
        <v>321</v>
      </c>
      <c r="M14" s="86">
        <v>26</v>
      </c>
      <c r="N14" s="62" t="s">
        <v>46</v>
      </c>
      <c r="O14" s="62" t="s">
        <v>46</v>
      </c>
      <c r="P14" s="86">
        <v>7</v>
      </c>
      <c r="Q14" s="86">
        <v>7</v>
      </c>
      <c r="R14" s="86"/>
      <c r="S14" s="86"/>
      <c r="T14" s="86">
        <v>138</v>
      </c>
      <c r="U14" s="86">
        <v>200</v>
      </c>
      <c r="V14" s="86">
        <v>25</v>
      </c>
      <c r="W14" s="86">
        <v>2</v>
      </c>
      <c r="X14" s="86">
        <v>316</v>
      </c>
      <c r="Y14" s="90">
        <v>100</v>
      </c>
      <c r="Z14" s="90">
        <v>16</v>
      </c>
      <c r="AA14" s="90">
        <v>12</v>
      </c>
      <c r="AB14" s="16" t="str">
        <f>IF(AE14&gt;0,"гр.4 &gt; гр.2 по строке «"&amp;AD14&amp;"»","ОК")</f>
        <v>ОК</v>
      </c>
      <c r="AC14" s="59" t="s">
        <v>49</v>
      </c>
      <c r="AD14" s="17" t="str">
        <f t="shared" si="2"/>
        <v>—</v>
      </c>
      <c r="AE14" s="18">
        <f t="shared" si="3"/>
        <v>0</v>
      </c>
      <c r="AF14" s="18" t="b">
        <f>$G12&lt;=$D12</f>
        <v>1</v>
      </c>
      <c r="AG14" s="18" t="b">
        <f>$G13&lt;=$D13</f>
        <v>1</v>
      </c>
      <c r="AH14" s="18" t="b">
        <f>$G14&lt;=$D14</f>
        <v>1</v>
      </c>
      <c r="AI14" s="18" t="b">
        <f>$G15&lt;=$D15</f>
        <v>1</v>
      </c>
      <c r="AJ14" s="18" t="b">
        <f>$G16&lt;=$D16</f>
        <v>1</v>
      </c>
      <c r="AK14" s="3"/>
      <c r="AL14" s="3"/>
      <c r="AM14" s="3"/>
      <c r="AN14" s="3"/>
      <c r="AO14" s="3"/>
      <c r="AP14" s="3"/>
      <c r="AQ14" s="3"/>
    </row>
    <row r="15" spans="1:56" ht="30" x14ac:dyDescent="0.25">
      <c r="A15" s="30">
        <v>4</v>
      </c>
      <c r="B15" s="35" t="s">
        <v>50</v>
      </c>
      <c r="C15" s="86">
        <v>187</v>
      </c>
      <c r="D15" s="86">
        <v>4</v>
      </c>
      <c r="E15" s="128">
        <f>IFERROR(VLOOKUP($C$5,'план 2024'!$B$2:$H$45,6,FALSE),0)</f>
        <v>187</v>
      </c>
      <c r="F15" s="86">
        <v>187</v>
      </c>
      <c r="G15" s="86">
        <v>4</v>
      </c>
      <c r="H15" s="40">
        <f t="shared" si="0"/>
        <v>187</v>
      </c>
      <c r="I15" s="86">
        <v>187</v>
      </c>
      <c r="J15" s="86"/>
      <c r="K15" s="86">
        <v>7</v>
      </c>
      <c r="L15" s="86">
        <v>163</v>
      </c>
      <c r="M15" s="86">
        <v>13</v>
      </c>
      <c r="N15" s="62" t="s">
        <v>46</v>
      </c>
      <c r="O15" s="62" t="s">
        <v>46</v>
      </c>
      <c r="P15" s="86">
        <v>4</v>
      </c>
      <c r="Q15" s="86">
        <v>4</v>
      </c>
      <c r="R15" s="86"/>
      <c r="S15" s="86"/>
      <c r="T15" s="86">
        <v>73</v>
      </c>
      <c r="U15" s="86">
        <v>102</v>
      </c>
      <c r="V15" s="86">
        <v>11</v>
      </c>
      <c r="W15" s="86">
        <v>1</v>
      </c>
      <c r="X15" s="86">
        <v>162</v>
      </c>
      <c r="Y15" s="90">
        <v>50</v>
      </c>
      <c r="Z15" s="90">
        <v>8</v>
      </c>
      <c r="AA15" s="90">
        <v>6</v>
      </c>
      <c r="AB15" s="16" t="str">
        <f>IF(AE15&gt;0,"гр.5 &gt; гр.3 по строке «"&amp;AD15&amp;"»","ОК")</f>
        <v>ОК</v>
      </c>
      <c r="AC15" s="59" t="s">
        <v>51</v>
      </c>
      <c r="AD15" s="17" t="str">
        <f t="shared" si="2"/>
        <v>—</v>
      </c>
      <c r="AE15" s="18">
        <f t="shared" si="3"/>
        <v>0</v>
      </c>
      <c r="AF15" s="18" t="b">
        <f>$H12&lt;=$E12</f>
        <v>1</v>
      </c>
      <c r="AG15" s="18" t="b">
        <f>$H13&lt;=$E13</f>
        <v>1</v>
      </c>
      <c r="AH15" s="18" t="b">
        <f>$H14&lt;=$E14</f>
        <v>1</v>
      </c>
      <c r="AI15" s="18" t="b">
        <f>$H15&lt;=$E15</f>
        <v>1</v>
      </c>
      <c r="AJ15" s="18" t="b">
        <f>$H16&lt;=$E16</f>
        <v>1</v>
      </c>
      <c r="AK15" s="3"/>
      <c r="AL15" s="3"/>
      <c r="AM15" s="3"/>
      <c r="AN15" s="3"/>
      <c r="AO15" s="3"/>
      <c r="AP15" s="3"/>
      <c r="AQ15" s="3"/>
    </row>
    <row r="16" spans="1:56" ht="30" x14ac:dyDescent="0.25">
      <c r="A16" s="30">
        <v>5</v>
      </c>
      <c r="B16" s="35" t="s">
        <v>52</v>
      </c>
      <c r="C16" s="86">
        <v>1266</v>
      </c>
      <c r="D16" s="86">
        <v>25</v>
      </c>
      <c r="E16" s="86">
        <v>1240</v>
      </c>
      <c r="F16" s="86">
        <v>1240</v>
      </c>
      <c r="G16" s="86">
        <v>25</v>
      </c>
      <c r="H16" s="40">
        <f t="shared" si="0"/>
        <v>1240</v>
      </c>
      <c r="I16" s="86">
        <v>1240</v>
      </c>
      <c r="J16" s="86"/>
      <c r="K16" s="86">
        <v>26</v>
      </c>
      <c r="L16" s="86">
        <v>1123</v>
      </c>
      <c r="M16" s="86">
        <v>66</v>
      </c>
      <c r="N16" s="62" t="s">
        <v>46</v>
      </c>
      <c r="O16" s="62" t="s">
        <v>46</v>
      </c>
      <c r="P16" s="86">
        <v>25</v>
      </c>
      <c r="Q16" s="86">
        <v>25</v>
      </c>
      <c r="R16" s="86"/>
      <c r="S16" s="86"/>
      <c r="T16" s="86">
        <v>558</v>
      </c>
      <c r="U16" s="86">
        <v>616</v>
      </c>
      <c r="V16" s="86">
        <v>54</v>
      </c>
      <c r="W16" s="86">
        <v>12</v>
      </c>
      <c r="X16" s="86">
        <v>1133</v>
      </c>
      <c r="Y16" s="90">
        <v>370</v>
      </c>
      <c r="Z16" s="90">
        <v>64</v>
      </c>
      <c r="AA16" s="90">
        <v>49</v>
      </c>
      <c r="AB16" s="16" t="str">
        <f>IF(AE16&gt;0,"гр.5.1 &gt; гр.5 по строке «"&amp;AD16&amp;"»","ОК")</f>
        <v>ОК</v>
      </c>
      <c r="AC16" s="59" t="s">
        <v>53</v>
      </c>
      <c r="AD16" s="17" t="str">
        <f t="shared" si="2"/>
        <v>—</v>
      </c>
      <c r="AE16" s="18">
        <f t="shared" si="3"/>
        <v>0</v>
      </c>
      <c r="AF16" s="18" t="b">
        <f>$I12&lt;=$H12</f>
        <v>1</v>
      </c>
      <c r="AG16" s="18" t="b">
        <f>$I13&lt;=$H13</f>
        <v>1</v>
      </c>
      <c r="AH16" s="18" t="b">
        <f>$I14&lt;=$H14</f>
        <v>1</v>
      </c>
      <c r="AI16" s="18" t="b">
        <f>$I15&lt;=$H15</f>
        <v>1</v>
      </c>
      <c r="AJ16" s="18" t="b">
        <f>$I16&lt;=$H16</f>
        <v>1</v>
      </c>
      <c r="AK16" s="3"/>
      <c r="AL16" s="3"/>
      <c r="AM16" s="3"/>
      <c r="AN16" s="3"/>
      <c r="AO16" s="3"/>
      <c r="AP16" s="3"/>
      <c r="AQ16" s="3"/>
    </row>
    <row r="17" spans="1:56" ht="34.5" customHeight="1" x14ac:dyDescent="0.25">
      <c r="A17" s="3"/>
      <c r="B17" s="3"/>
      <c r="C17" s="45"/>
      <c r="D17" s="45"/>
      <c r="E17" s="45"/>
      <c r="F17" s="45"/>
      <c r="G17" s="128">
        <f>IFERROR(VLOOKUP($C$5,'план 2024'!$B$2:$H$45,4,FALSE),0)</f>
        <v>28</v>
      </c>
      <c r="H17" s="40">
        <f>H12+H14</f>
        <v>1662</v>
      </c>
      <c r="I17" s="32"/>
      <c r="K17" s="46"/>
      <c r="L17" s="46"/>
      <c r="M17" s="45"/>
      <c r="N17" s="45"/>
      <c r="O17" s="45"/>
      <c r="P17" s="45"/>
      <c r="R17" s="45"/>
      <c r="S17" s="45"/>
      <c r="T17" s="45"/>
      <c r="U17" s="45"/>
      <c r="V17" s="45"/>
      <c r="W17" s="40">
        <f>T11+U11+V11+W11</f>
        <v>1240</v>
      </c>
      <c r="X17" s="47"/>
      <c r="Y17" s="47"/>
      <c r="Z17" s="47"/>
      <c r="AA17" s="3"/>
      <c r="AB17" s="16" t="str">
        <f>IF(AE17&gt;0,"гр.6 &gt; гр.5 по строке «"&amp;AD17&amp;"»","ОК")</f>
        <v>ОК</v>
      </c>
      <c r="AC17" s="59" t="s">
        <v>54</v>
      </c>
      <c r="AD17" s="17" t="str">
        <f t="shared" si="2"/>
        <v>—</v>
      </c>
      <c r="AE17" s="18">
        <f t="shared" si="3"/>
        <v>0</v>
      </c>
      <c r="AF17" s="18" t="b">
        <f>$J12&lt;=$H12</f>
        <v>1</v>
      </c>
      <c r="AG17" s="18" t="b">
        <f>$J13&lt;=$H13</f>
        <v>1</v>
      </c>
      <c r="AH17" s="18" t="b">
        <f>$J14&lt;=$H14</f>
        <v>1</v>
      </c>
      <c r="AI17" s="18" t="b">
        <f>$J15&lt;=$H15</f>
        <v>1</v>
      </c>
      <c r="AJ17" s="63" t="b">
        <v>1</v>
      </c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ht="30" customHeight="1" x14ac:dyDescent="0.25">
      <c r="A18" s="3"/>
      <c r="B18" s="3"/>
      <c r="C18" s="3"/>
      <c r="D18" s="182" t="str">
        <f>IF(AND(OR(G12&lt;&gt;"",G14&lt;&gt;""),G17&lt;&gt;G12+G14),"Сумма 1-й и 3-й строк не соответствует «Плану инвалидов»","")</f>
        <v/>
      </c>
      <c r="E18" s="182"/>
      <c r="F18" s="182"/>
      <c r="G18" s="182"/>
      <c r="H18" s="3" t="s">
        <v>55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16" t="str">
        <f>IF(AE18&gt;0,"гр.10.1 &gt; гр.10 по строке «"&amp;AD18&amp;"»","ОК")</f>
        <v>ОК</v>
      </c>
      <c r="AC18" s="59" t="s">
        <v>56</v>
      </c>
      <c r="AD18" s="17" t="str">
        <f t="shared" si="2"/>
        <v>—</v>
      </c>
      <c r="AE18" s="18">
        <f t="shared" si="3"/>
        <v>0</v>
      </c>
      <c r="AF18" s="18" t="b">
        <f>$Q12&lt;=$P12</f>
        <v>1</v>
      </c>
      <c r="AG18" s="18" t="b">
        <f>$Q13&lt;=$P13</f>
        <v>1</v>
      </c>
      <c r="AH18" s="18" t="b">
        <f>$Q14&lt;=$P14</f>
        <v>1</v>
      </c>
      <c r="AI18" s="18" t="b">
        <f>$Q15&lt;=$P15</f>
        <v>1</v>
      </c>
      <c r="AJ18" s="18" t="b">
        <f>$Q16&lt;=$P16</f>
        <v>1</v>
      </c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ht="30" x14ac:dyDescent="0.25">
      <c r="A19" s="3"/>
      <c r="B19" s="3"/>
      <c r="C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16" t="str">
        <f>IF(AE19&gt;0,"гр.11.1 &gt; гр.11 по строке «"&amp;AD19&amp;"»","ОК")</f>
        <v>ОК</v>
      </c>
      <c r="AC19" s="59" t="s">
        <v>57</v>
      </c>
      <c r="AD19" s="17" t="str">
        <f t="shared" si="2"/>
        <v>—</v>
      </c>
      <c r="AE19" s="18">
        <f t="shared" si="3"/>
        <v>0</v>
      </c>
      <c r="AF19" s="18" t="b">
        <f>$S12&lt;=$R12</f>
        <v>1</v>
      </c>
      <c r="AG19" s="18" t="b">
        <f>$S13&lt;=$R13</f>
        <v>1</v>
      </c>
      <c r="AH19" s="18" t="b">
        <f>$S14&lt;=$R14</f>
        <v>1</v>
      </c>
      <c r="AI19" s="18" t="b">
        <f>$S15&lt;=$R15</f>
        <v>1</v>
      </c>
      <c r="AJ19" s="18" t="b">
        <f>$S16&lt;=$R16</f>
        <v>1</v>
      </c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ht="45.75" thickBo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6" t="str">
        <f>IF(AE20&gt;0,"гр.12+гр.13+гр.14+гр.15 &gt; гр.5 по строке «"&amp;AD20&amp;"»","ОК")</f>
        <v>ОК</v>
      </c>
      <c r="AC20" s="59" t="s">
        <v>58</v>
      </c>
      <c r="AD20" s="17" t="str">
        <f t="shared" si="2"/>
        <v>—</v>
      </c>
      <c r="AE20" s="18">
        <f t="shared" si="3"/>
        <v>0</v>
      </c>
      <c r="AF20" s="18" t="b">
        <f>SUM($T12:$W12)&lt;=$H12</f>
        <v>1</v>
      </c>
      <c r="AG20" s="18" t="b">
        <f>SUM($T13:$W13)&lt;=$H13</f>
        <v>1</v>
      </c>
      <c r="AH20" s="18" t="b">
        <f>SUM($T14:$W14)&lt;=$H14</f>
        <v>1</v>
      </c>
      <c r="AI20" s="18" t="b">
        <f>SUM($T15:$W15)&lt;=$H15</f>
        <v>1</v>
      </c>
      <c r="AJ20" s="18" t="b">
        <f>SUM($T16:$W16)&lt;=$H16</f>
        <v>1</v>
      </c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30" x14ac:dyDescent="0.25">
      <c r="A21" s="3"/>
      <c r="B21" s="3"/>
      <c r="C21" s="162" t="s">
        <v>59</v>
      </c>
      <c r="D21" s="163"/>
      <c r="E21" s="164" t="s">
        <v>336</v>
      </c>
      <c r="F21" s="165"/>
      <c r="G21" s="16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16" t="str">
        <f>IF(AE21&gt;0,"гр.16 &gt; гр.5 по строке «"&amp;AD21&amp;"»","ОК")</f>
        <v>ОК</v>
      </c>
      <c r="AC21" s="59" t="s">
        <v>60</v>
      </c>
      <c r="AD21" s="17" t="str">
        <f t="shared" si="2"/>
        <v>—</v>
      </c>
      <c r="AE21" s="18">
        <f t="shared" si="3"/>
        <v>0</v>
      </c>
      <c r="AF21" s="18" t="b">
        <f>$X12&lt;=$H12</f>
        <v>1</v>
      </c>
      <c r="AG21" s="18" t="b">
        <f>$X13&lt;=$H13</f>
        <v>1</v>
      </c>
      <c r="AH21" s="18" t="b">
        <f>$X14&lt;=$H14</f>
        <v>1</v>
      </c>
      <c r="AI21" s="18" t="b">
        <f>$X15&lt;=$H15</f>
        <v>1</v>
      </c>
      <c r="AJ21" s="18" t="b">
        <f>$X16&lt;=$H16</f>
        <v>1</v>
      </c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30" x14ac:dyDescent="0.25">
      <c r="A22" s="3"/>
      <c r="B22" s="3"/>
      <c r="C22" s="171" t="s">
        <v>61</v>
      </c>
      <c r="D22" s="172"/>
      <c r="E22" s="173" t="s">
        <v>337</v>
      </c>
      <c r="F22" s="174"/>
      <c r="G22" s="17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6" t="str">
        <f>IF(AE22&gt;0,"гр.17 &gt; гр.16 по строке «"&amp;AD22&amp;"»","ОК")</f>
        <v>ОК</v>
      </c>
      <c r="AC22" s="59" t="s">
        <v>62</v>
      </c>
      <c r="AD22" s="17" t="str">
        <f t="shared" si="2"/>
        <v>—</v>
      </c>
      <c r="AE22" s="18">
        <f t="shared" si="3"/>
        <v>0</v>
      </c>
      <c r="AF22" s="18" t="b">
        <f>$Y12&lt;=$X12</f>
        <v>1</v>
      </c>
      <c r="AG22" s="18" t="b">
        <f>$Y13&lt;=$X13</f>
        <v>1</v>
      </c>
      <c r="AH22" s="18" t="b">
        <f>$Y14&lt;=$X14</f>
        <v>1</v>
      </c>
      <c r="AI22" s="18" t="b">
        <f>$Y15&lt;=$X15</f>
        <v>1</v>
      </c>
      <c r="AJ22" s="18" t="b">
        <f>$Y16&lt;=$X16</f>
        <v>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30.75" thickBot="1" x14ac:dyDescent="0.3">
      <c r="A23" s="3"/>
      <c r="B23" s="3"/>
      <c r="C23" s="176" t="s">
        <v>63</v>
      </c>
      <c r="D23" s="177"/>
      <c r="E23" s="178">
        <v>89047542538</v>
      </c>
      <c r="F23" s="179"/>
      <c r="G23" s="180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6" t="str">
        <f>IF(AE23&gt;0,"гр.18 &gt; гр.5 по строке «"&amp;AD23&amp;"»","ОК")</f>
        <v>ОК</v>
      </c>
      <c r="AC23" s="59" t="s">
        <v>64</v>
      </c>
      <c r="AD23" s="17" t="str">
        <f t="shared" si="2"/>
        <v>—</v>
      </c>
      <c r="AE23" s="18">
        <f t="shared" si="3"/>
        <v>0</v>
      </c>
      <c r="AF23" s="18" t="b">
        <f>$Z12&lt;=$H12</f>
        <v>1</v>
      </c>
      <c r="AG23" s="18" t="b">
        <f>$Z13&lt;=$H13</f>
        <v>1</v>
      </c>
      <c r="AH23" s="18" t="b">
        <f>$Z14&lt;=$H14</f>
        <v>1</v>
      </c>
      <c r="AI23" s="18" t="b">
        <f>$Z15&lt;=$H15</f>
        <v>1</v>
      </c>
      <c r="AJ23" s="18" t="b">
        <f>$Z16&lt;=$H16</f>
        <v>1</v>
      </c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3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16" t="str">
        <f>IF(AE24&gt;0,"гр.19 &gt; гр.18 по строке «"&amp;AD24&amp;"»","ОК")</f>
        <v>ОК</v>
      </c>
      <c r="AC24" s="59" t="s">
        <v>65</v>
      </c>
      <c r="AD24" s="17" t="str">
        <f t="shared" si="2"/>
        <v>—</v>
      </c>
      <c r="AE24" s="18">
        <f t="shared" si="3"/>
        <v>0</v>
      </c>
      <c r="AF24" s="18" t="b">
        <f>$AA12&lt;=$Z12</f>
        <v>1</v>
      </c>
      <c r="AG24" s="18" t="b">
        <f>$AA13&lt;=$Z13</f>
        <v>1</v>
      </c>
      <c r="AH24" s="18" t="b">
        <f>$AA14&lt;=$Z14</f>
        <v>1</v>
      </c>
      <c r="AI24" s="18" t="b">
        <f>$AA15&lt;=$Z15</f>
        <v>1</v>
      </c>
      <c r="AJ24" s="18" t="b">
        <f>$AA16&lt;=$Z16</f>
        <v>1</v>
      </c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105" x14ac:dyDescent="0.25">
      <c r="A25" s="30" t="s">
        <v>5</v>
      </c>
      <c r="B25" s="36" t="s">
        <v>66</v>
      </c>
      <c r="C25" s="35" t="s">
        <v>67</v>
      </c>
      <c r="D25" s="35" t="s">
        <v>68</v>
      </c>
      <c r="E25" s="35" t="s">
        <v>69</v>
      </c>
      <c r="F25" s="35" t="s">
        <v>68</v>
      </c>
      <c r="G25" s="35" t="s">
        <v>70</v>
      </c>
      <c r="H25" s="35" t="s">
        <v>71</v>
      </c>
      <c r="I25" s="35" t="s">
        <v>72</v>
      </c>
      <c r="J25" s="35" t="s">
        <v>31</v>
      </c>
      <c r="K25" s="35" t="s">
        <v>32</v>
      </c>
      <c r="L25" s="35" t="s">
        <v>73</v>
      </c>
      <c r="M25" s="35" t="s">
        <v>74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6" t="str">
        <f>IF(AE25&gt;0,"стр.2 &gt;= стр.1 по графе "&amp;AD25,"ОК")</f>
        <v>ОК</v>
      </c>
      <c r="AC25" s="59" t="s">
        <v>75</v>
      </c>
      <c r="AD25" s="10" t="str">
        <f>IF(AE25&gt;0,INDEX($C$10:$AA$10,1,AE25),CHAR(151))</f>
        <v>—</v>
      </c>
      <c r="AE25" s="1">
        <f>IF(ISERROR(MATCH(FALSE,AF25:BD25,0)),0,MATCH(FALSE,AF25:BD25,0))</f>
        <v>0</v>
      </c>
      <c r="AF25" s="1" t="b">
        <f>IF(OR(C13&lt;&gt;0,C12&lt;&gt;0),C13&lt;C12,TRUE)</f>
        <v>1</v>
      </c>
      <c r="AG25" s="1" t="b">
        <f t="shared" ref="AG25:AH25" si="4">IF(OR(D13&lt;&gt;0,D12&lt;&gt;0),D13&lt;D12,TRUE)</f>
        <v>1</v>
      </c>
      <c r="AH25" s="1" t="b">
        <f t="shared" si="4"/>
        <v>1</v>
      </c>
      <c r="AI25" s="1" t="b">
        <f>IF(OR(F13&lt;&gt;0,F12&lt;&gt;0),F13&lt;F12,TRUE)</f>
        <v>1</v>
      </c>
      <c r="AJ25" s="1" t="b">
        <f>IF(OR(G13&lt;&gt;0,G12&lt;&gt;0),G13&lt;G12,TRUE)</f>
        <v>1</v>
      </c>
      <c r="AK25" s="60" t="b">
        <v>1</v>
      </c>
      <c r="AL25" s="1" t="b">
        <f t="shared" ref="AL25:AO25" si="5">IF(OR(I13&lt;&gt;0,I12&lt;&gt;0),I13&lt;I12,TRUE)</f>
        <v>1</v>
      </c>
      <c r="AM25" s="1" t="b">
        <f t="shared" si="5"/>
        <v>1</v>
      </c>
      <c r="AN25" s="1" t="b">
        <f t="shared" si="5"/>
        <v>1</v>
      </c>
      <c r="AO25" s="1" t="b">
        <f t="shared" si="5"/>
        <v>1</v>
      </c>
      <c r="AP25" s="60" t="b">
        <v>1</v>
      </c>
      <c r="AQ25" s="60" t="b">
        <v>1</v>
      </c>
      <c r="AR25" s="60" t="b">
        <v>1</v>
      </c>
      <c r="AS25" s="1" t="b">
        <f t="shared" ref="AS25:AV25" si="6">IF(OR(P13&lt;&gt;0,P12&lt;&gt;0),P13&lt;P12,TRUE)</f>
        <v>1</v>
      </c>
      <c r="AT25" s="1" t="b">
        <f t="shared" si="6"/>
        <v>1</v>
      </c>
      <c r="AU25" s="1" t="b">
        <f t="shared" si="6"/>
        <v>1</v>
      </c>
      <c r="AV25" s="1" t="b">
        <f t="shared" si="6"/>
        <v>1</v>
      </c>
      <c r="AW25" s="60" t="b">
        <v>1</v>
      </c>
      <c r="AX25" s="60" t="b">
        <v>1</v>
      </c>
      <c r="AY25" s="60" t="b">
        <v>1</v>
      </c>
      <c r="AZ25" s="60" t="b">
        <v>1</v>
      </c>
      <c r="BA25" s="1" t="b">
        <f>IF(OR(X13&lt;&gt;0,X12&lt;&gt;0),X13&lt;X12,TRUE)</f>
        <v>1</v>
      </c>
      <c r="BB25" s="1" t="b">
        <f t="shared" ref="BB25:BD25" si="7">IF(OR(Y13&lt;&gt;0,Y12&lt;&gt;0),Y13&lt;Y12,TRUE)</f>
        <v>1</v>
      </c>
      <c r="BC25" s="1" t="b">
        <f t="shared" si="7"/>
        <v>1</v>
      </c>
      <c r="BD25" s="1" t="b">
        <f t="shared" si="7"/>
        <v>1</v>
      </c>
    </row>
    <row r="26" spans="1:56" ht="30" x14ac:dyDescent="0.25">
      <c r="A26" s="30"/>
      <c r="B26" s="37" t="s">
        <v>76</v>
      </c>
      <c r="C26" s="24" t="s">
        <v>77</v>
      </c>
      <c r="D26" s="24" t="s">
        <v>78</v>
      </c>
      <c r="E26" s="24" t="s">
        <v>79</v>
      </c>
      <c r="F26" s="24" t="s">
        <v>80</v>
      </c>
      <c r="G26" s="24" t="s">
        <v>81</v>
      </c>
      <c r="H26" s="24" t="s">
        <v>82</v>
      </c>
      <c r="I26" s="24" t="s">
        <v>83</v>
      </c>
      <c r="J26" s="24" t="s">
        <v>84</v>
      </c>
      <c r="K26" s="24" t="s">
        <v>85</v>
      </c>
      <c r="L26" s="24" t="s">
        <v>86</v>
      </c>
      <c r="M26" s="24" t="s">
        <v>87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16" t="str">
        <f>IF(AE26&gt;0,"стр.4 &gt;= стр.3 по графе "&amp;AD26,"ОК")</f>
        <v>ОК</v>
      </c>
      <c r="AC26" s="59" t="s">
        <v>88</v>
      </c>
      <c r="AD26" s="10" t="str">
        <f>IF(AE26&gt;0,INDEX($C$10:$AA$10,1,AE26),CHAR(151))</f>
        <v>—</v>
      </c>
      <c r="AE26" s="1">
        <f>IF(ISERROR(MATCH(FALSE,AF26:BD26,0)),0,MATCH(FALSE,AF26:BD26,0))</f>
        <v>0</v>
      </c>
      <c r="AF26" s="1" t="b">
        <f>IF(OR(C15&lt;&gt;"",C14&lt;&gt;""),C15&lt;=C14,TRUE)</f>
        <v>1</v>
      </c>
      <c r="AG26" s="1" t="b">
        <f t="shared" ref="AG26:BD26" si="8">IF(OR(D15&lt;&gt;"",D14&lt;&gt;""),D15&lt;=D14,TRUE)</f>
        <v>1</v>
      </c>
      <c r="AH26" s="1" t="b">
        <f t="shared" si="8"/>
        <v>1</v>
      </c>
      <c r="AI26" s="1" t="b">
        <f>IF(OR(F15&lt;&gt;"",F14&lt;&gt;""),F15&lt;=F14,TRUE)</f>
        <v>1</v>
      </c>
      <c r="AJ26" s="1" t="b">
        <f>IF(OR(G15&lt;&gt;"",G14&lt;&gt;""),G15&lt;=G14,TRUE)</f>
        <v>1</v>
      </c>
      <c r="AK26" s="60" t="b">
        <v>1</v>
      </c>
      <c r="AL26" s="1" t="b">
        <f t="shared" si="8"/>
        <v>1</v>
      </c>
      <c r="AM26" s="1" t="b">
        <f t="shared" si="8"/>
        <v>1</v>
      </c>
      <c r="AN26" s="1" t="b">
        <f t="shared" si="8"/>
        <v>1</v>
      </c>
      <c r="AO26" s="1" t="b">
        <f t="shared" si="8"/>
        <v>1</v>
      </c>
      <c r="AP26" s="60" t="b">
        <v>1</v>
      </c>
      <c r="AQ26" s="1" t="b">
        <f t="shared" si="8"/>
        <v>1</v>
      </c>
      <c r="AR26" s="1" t="b">
        <f t="shared" si="8"/>
        <v>1</v>
      </c>
      <c r="AS26" s="1" t="b">
        <f t="shared" si="8"/>
        <v>1</v>
      </c>
      <c r="AT26" s="1" t="b">
        <f t="shared" si="8"/>
        <v>1</v>
      </c>
      <c r="AU26" s="1" t="b">
        <f t="shared" si="8"/>
        <v>1</v>
      </c>
      <c r="AV26" s="1" t="b">
        <f t="shared" si="8"/>
        <v>1</v>
      </c>
      <c r="AW26" s="1" t="b">
        <f t="shared" si="8"/>
        <v>1</v>
      </c>
      <c r="AX26" s="1" t="b">
        <f t="shared" si="8"/>
        <v>1</v>
      </c>
      <c r="AY26" s="1" t="b">
        <f t="shared" si="8"/>
        <v>1</v>
      </c>
      <c r="AZ26" s="1" t="b">
        <f t="shared" si="8"/>
        <v>1</v>
      </c>
      <c r="BA26" s="1" t="b">
        <f t="shared" si="8"/>
        <v>1</v>
      </c>
      <c r="BB26" s="1" t="b">
        <f t="shared" si="8"/>
        <v>1</v>
      </c>
      <c r="BC26" s="1" t="b">
        <f t="shared" si="8"/>
        <v>1</v>
      </c>
      <c r="BD26" s="1" t="b">
        <f t="shared" si="8"/>
        <v>1</v>
      </c>
    </row>
    <row r="27" spans="1:56" ht="45" x14ac:dyDescent="0.25">
      <c r="A27" s="30">
        <v>1</v>
      </c>
      <c r="B27" s="35" t="s">
        <v>89</v>
      </c>
      <c r="C27" s="41">
        <f>E12</f>
        <v>1361</v>
      </c>
      <c r="D27" s="41">
        <f>F12</f>
        <v>1361</v>
      </c>
      <c r="E27" s="42">
        <f t="shared" ref="E27:F29" si="9">H12</f>
        <v>1297</v>
      </c>
      <c r="F27" s="42">
        <f t="shared" si="9"/>
        <v>1297</v>
      </c>
      <c r="G27" s="41">
        <f t="shared" ref="G27:L31" si="10">K12</f>
        <v>25</v>
      </c>
      <c r="H27" s="41">
        <f t="shared" si="10"/>
        <v>1206</v>
      </c>
      <c r="I27" s="41">
        <f t="shared" si="10"/>
        <v>45</v>
      </c>
      <c r="J27" s="97" t="s">
        <v>287</v>
      </c>
      <c r="K27" s="97" t="s">
        <v>287</v>
      </c>
      <c r="L27" s="41">
        <f t="shared" si="10"/>
        <v>21</v>
      </c>
      <c r="M27" s="41">
        <f>R12</f>
        <v>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6" t="str">
        <f>IF(AE27&gt;0,"стр.5 &gt;= стр.1+стр.3 по графе "&amp;AD27,"ОК")</f>
        <v>стр.5 &gt;= стр.1+стр.3 по графе 12</v>
      </c>
      <c r="AC27" s="59" t="s">
        <v>90</v>
      </c>
      <c r="AD27" s="10">
        <f>IF(AE27&gt;0,INDEX($C$10:$AA$10,1,AE27),CHAR(151))</f>
        <v>12</v>
      </c>
      <c r="AE27" s="1">
        <f>IF(ISERROR(MATCH(FALSE,AF27:BD27,0)),0,MATCH(FALSE,AF27:BD27,0))</f>
        <v>18</v>
      </c>
      <c r="AF27" s="1" t="b">
        <f>IF(OR(C12&lt;&gt;0,C14&lt;&gt;0,C16&lt;&gt;""),C16&lt;SUM(C12,C14),TRUE)</f>
        <v>1</v>
      </c>
      <c r="AG27" s="1" t="b">
        <f t="shared" ref="AG27:AH27" si="11">IF(OR(D12&lt;&gt;0,D14&lt;&gt;0,D16&lt;&gt;""),D16&lt;SUM(D12,D14),TRUE)</f>
        <v>1</v>
      </c>
      <c r="AH27" s="1" t="b">
        <f t="shared" si="11"/>
        <v>1</v>
      </c>
      <c r="AI27" s="1" t="b">
        <f>IF(OR(F12&lt;&gt;0,F14&lt;&gt;0,F16&lt;&gt;""),F16&lt;SUM(F12,F14),TRUE)</f>
        <v>1</v>
      </c>
      <c r="AJ27" s="1" t="b">
        <f>IF(OR(G12&lt;&gt;0,G14&lt;&gt;0,G16&lt;&gt;""),G16&lt;SUM(G12,G14),TRUE)</f>
        <v>1</v>
      </c>
      <c r="AK27" s="60" t="b">
        <v>1</v>
      </c>
      <c r="AL27" s="1" t="b">
        <f t="shared" ref="AL27:AO27" si="12">IF(OR(I12&lt;&gt;0,I14&lt;&gt;0,I16&lt;&gt;""),I16&lt;SUM(I12,I14),TRUE)</f>
        <v>1</v>
      </c>
      <c r="AM27" s="1" t="b">
        <f t="shared" si="12"/>
        <v>1</v>
      </c>
      <c r="AN27" s="1" t="b">
        <f t="shared" si="12"/>
        <v>1</v>
      </c>
      <c r="AO27" s="1" t="b">
        <f t="shared" si="12"/>
        <v>1</v>
      </c>
      <c r="AP27" s="60" t="b">
        <v>1</v>
      </c>
      <c r="AQ27" s="60" t="b">
        <v>1</v>
      </c>
      <c r="AR27" s="60" t="b">
        <v>1</v>
      </c>
      <c r="AS27" s="1" t="b">
        <f t="shared" ref="AS27:BD27" si="13">IF(OR(P12&lt;&gt;0,P14&lt;&gt;0,P16&lt;&gt;""),P16&lt;SUM(P12,P14),TRUE)</f>
        <v>1</v>
      </c>
      <c r="AT27" s="1" t="b">
        <f t="shared" si="13"/>
        <v>1</v>
      </c>
      <c r="AU27" s="1" t="b">
        <f t="shared" si="13"/>
        <v>1</v>
      </c>
      <c r="AV27" s="1" t="b">
        <f t="shared" si="13"/>
        <v>1</v>
      </c>
      <c r="AW27" s="1" t="b">
        <f t="shared" si="13"/>
        <v>0</v>
      </c>
      <c r="AX27" s="1" t="b">
        <f t="shared" si="13"/>
        <v>0</v>
      </c>
      <c r="AY27" s="1" t="b">
        <f t="shared" si="13"/>
        <v>0</v>
      </c>
      <c r="AZ27" s="1" t="b">
        <f t="shared" si="13"/>
        <v>0</v>
      </c>
      <c r="BA27" s="1" t="b">
        <f>IF(OR(X12&lt;&gt;0,X14&lt;&gt;0,X16&lt;&gt;""),X16&lt;SUM(X12,X14),TRUE)</f>
        <v>1</v>
      </c>
      <c r="BB27" s="1" t="b">
        <f t="shared" si="13"/>
        <v>1</v>
      </c>
      <c r="BC27" s="1" t="b">
        <f t="shared" si="13"/>
        <v>0</v>
      </c>
      <c r="BD27" s="1" t="b">
        <f t="shared" si="13"/>
        <v>0</v>
      </c>
    </row>
    <row r="28" spans="1:56" ht="38.1" customHeight="1" x14ac:dyDescent="0.25">
      <c r="A28" s="30">
        <v>2</v>
      </c>
      <c r="B28" s="35" t="s">
        <v>45</v>
      </c>
      <c r="C28" s="41">
        <f>E13</f>
        <v>67</v>
      </c>
      <c r="D28" s="41">
        <f>F13</f>
        <v>67</v>
      </c>
      <c r="E28" s="42">
        <f t="shared" si="9"/>
        <v>67</v>
      </c>
      <c r="F28" s="42">
        <f t="shared" si="9"/>
        <v>67</v>
      </c>
      <c r="G28" s="41">
        <f t="shared" si="10"/>
        <v>0</v>
      </c>
      <c r="H28" s="41">
        <f t="shared" si="10"/>
        <v>66</v>
      </c>
      <c r="I28" s="41">
        <f t="shared" si="10"/>
        <v>1</v>
      </c>
      <c r="J28" s="97" t="s">
        <v>287</v>
      </c>
      <c r="K28" s="97" t="s">
        <v>287</v>
      </c>
      <c r="L28" s="41">
        <f t="shared" si="10"/>
        <v>0</v>
      </c>
      <c r="M28" s="41">
        <f>R13</f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16" t="str">
        <f>IF(H17&lt;&gt;H11,"стр.17 Excel гр.5 ≠ стр.11 Excel гр.5","ОК")</f>
        <v>ОК</v>
      </c>
      <c r="AC28" s="155" t="s">
        <v>91</v>
      </c>
      <c r="AD28" s="155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ht="45" x14ac:dyDescent="0.25">
      <c r="A29" s="30">
        <v>3</v>
      </c>
      <c r="B29" s="35" t="s">
        <v>48</v>
      </c>
      <c r="C29" s="43">
        <f t="shared" ref="C29:C31" si="14">E14</f>
        <v>365</v>
      </c>
      <c r="D29" s="43">
        <f>F14</f>
        <v>365</v>
      </c>
      <c r="E29" s="44">
        <f t="shared" si="9"/>
        <v>365</v>
      </c>
      <c r="F29" s="44">
        <f t="shared" si="9"/>
        <v>365</v>
      </c>
      <c r="G29" s="41">
        <f t="shared" si="10"/>
        <v>11</v>
      </c>
      <c r="H29" s="41">
        <f t="shared" si="10"/>
        <v>321</v>
      </c>
      <c r="I29" s="41">
        <f t="shared" si="10"/>
        <v>26</v>
      </c>
      <c r="J29" s="97" t="s">
        <v>287</v>
      </c>
      <c r="K29" s="97" t="s">
        <v>287</v>
      </c>
      <c r="L29" s="41">
        <f t="shared" si="10"/>
        <v>7</v>
      </c>
      <c r="M29" s="41">
        <f>R14</f>
        <v>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16" t="str">
        <f>IF(AE29&gt;0,"гр.5.1 &gt; гр.3.1 по строке «"&amp;AD29&amp;"»","ОК")</f>
        <v>ОК</v>
      </c>
      <c r="AC29" s="59" t="s">
        <v>299</v>
      </c>
      <c r="AD29" s="17" t="str">
        <f t="shared" ref="AD29" si="15">IF(AE29&gt;0,INDEX($A$12:$A$16,AE29,1),CHAR(151))</f>
        <v>—</v>
      </c>
      <c r="AE29" s="18">
        <f t="shared" ref="AE29" si="16">IF(ISERROR(MATCH(FALSE,AF29:AJ29,0)),0,MATCH(FALSE,AF29:AJ29,0))</f>
        <v>0</v>
      </c>
      <c r="AF29" s="18" t="b">
        <f>$I12&lt;=$F12</f>
        <v>1</v>
      </c>
      <c r="AG29" s="18" t="b">
        <f>$I13&lt;=$F13</f>
        <v>1</v>
      </c>
      <c r="AH29" s="18" t="b">
        <f>$I14&lt;=$F14</f>
        <v>1</v>
      </c>
      <c r="AI29" s="18" t="b">
        <f>$I15&lt;=$F15</f>
        <v>1</v>
      </c>
      <c r="AJ29" s="18" t="b">
        <f>$I16&lt;=$F16</f>
        <v>1</v>
      </c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ht="30" x14ac:dyDescent="0.25">
      <c r="A30" s="30">
        <v>4</v>
      </c>
      <c r="B30" s="35" t="s">
        <v>50</v>
      </c>
      <c r="C30" s="43">
        <f t="shared" si="14"/>
        <v>187</v>
      </c>
      <c r="D30" s="43">
        <f>F15</f>
        <v>187</v>
      </c>
      <c r="E30" s="44">
        <f>H15</f>
        <v>187</v>
      </c>
      <c r="F30" s="44">
        <f>I15</f>
        <v>187</v>
      </c>
      <c r="G30" s="41">
        <f t="shared" si="10"/>
        <v>7</v>
      </c>
      <c r="H30" s="41">
        <f t="shared" si="10"/>
        <v>163</v>
      </c>
      <c r="I30" s="41">
        <f t="shared" si="10"/>
        <v>13</v>
      </c>
      <c r="J30" s="97" t="s">
        <v>287</v>
      </c>
      <c r="K30" s="97" t="s">
        <v>287</v>
      </c>
      <c r="L30" s="41">
        <f t="shared" si="10"/>
        <v>4</v>
      </c>
      <c r="M30" s="41">
        <f>R15</f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x14ac:dyDescent="0.25">
      <c r="A31" s="30">
        <v>5</v>
      </c>
      <c r="B31" s="35" t="s">
        <v>92</v>
      </c>
      <c r="C31" s="41">
        <f t="shared" si="14"/>
        <v>1240</v>
      </c>
      <c r="D31" s="41">
        <f>F16</f>
        <v>1240</v>
      </c>
      <c r="E31" s="42">
        <f>H16</f>
        <v>1240</v>
      </c>
      <c r="F31" s="42">
        <f>I16</f>
        <v>1240</v>
      </c>
      <c r="G31" s="41">
        <f t="shared" si="10"/>
        <v>26</v>
      </c>
      <c r="H31" s="41">
        <f t="shared" si="10"/>
        <v>1123</v>
      </c>
      <c r="I31" s="41">
        <f t="shared" si="10"/>
        <v>66</v>
      </c>
      <c r="J31" s="97" t="s">
        <v>287</v>
      </c>
      <c r="K31" s="97" t="s">
        <v>287</v>
      </c>
      <c r="L31" s="41">
        <f t="shared" si="10"/>
        <v>25</v>
      </c>
      <c r="M31" s="41">
        <f>R16</f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</sheetData>
  <sheetProtection password="DB70" sheet="1" objects="1" scenarios="1" autoFilter="0"/>
  <mergeCells count="42">
    <mergeCell ref="I8:I9"/>
    <mergeCell ref="N8:O8"/>
    <mergeCell ref="C7:G7"/>
    <mergeCell ref="H7:J7"/>
    <mergeCell ref="C8:C9"/>
    <mergeCell ref="E8:E9"/>
    <mergeCell ref="G8:G9"/>
    <mergeCell ref="C22:D22"/>
    <mergeCell ref="E22:G22"/>
    <mergeCell ref="C23:D23"/>
    <mergeCell ref="E23:G23"/>
    <mergeCell ref="B7:B9"/>
    <mergeCell ref="F8:F9"/>
    <mergeCell ref="D18:G18"/>
    <mergeCell ref="E2:L2"/>
    <mergeCell ref="C5:N5"/>
    <mergeCell ref="H6:J6"/>
    <mergeCell ref="E3:F3"/>
    <mergeCell ref="X7:Y7"/>
    <mergeCell ref="T7:W7"/>
    <mergeCell ref="AC28:AD28"/>
    <mergeCell ref="A7:A9"/>
    <mergeCell ref="AB7:AB10"/>
    <mergeCell ref="Z7:Z9"/>
    <mergeCell ref="AA7:AA9"/>
    <mergeCell ref="K7:S7"/>
    <mergeCell ref="L8:L9"/>
    <mergeCell ref="M8:M9"/>
    <mergeCell ref="P8:P9"/>
    <mergeCell ref="Q8:Q9"/>
    <mergeCell ref="T8:T9"/>
    <mergeCell ref="H8:H9"/>
    <mergeCell ref="U8:U9"/>
    <mergeCell ref="X8:X9"/>
    <mergeCell ref="C21:D21"/>
    <mergeCell ref="E21:G21"/>
    <mergeCell ref="R8:R9"/>
    <mergeCell ref="S8:S9"/>
    <mergeCell ref="Y8:Y9"/>
    <mergeCell ref="V8:W8"/>
    <mergeCell ref="J8:J9"/>
    <mergeCell ref="K8:K9"/>
  </mergeCells>
  <conditionalFormatting sqref="B4">
    <cfRule type="expression" dxfId="14" priority="4">
      <formula>ISERROR($A$1)</formula>
    </cfRule>
  </conditionalFormatting>
  <conditionalFormatting sqref="D18:G18">
    <cfRule type="expression" dxfId="13" priority="1">
      <formula>$D$18&lt;&gt;""</formula>
    </cfRule>
  </conditionalFormatting>
  <conditionalFormatting sqref="AB11:AB29">
    <cfRule type="expression" dxfId="12" priority="2" stopIfTrue="1">
      <formula>AB11&lt;&gt;"ОК"</formula>
    </cfRule>
  </conditionalFormatting>
  <dataValidations count="6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:N5">
      <formula1>Названия_организаций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3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3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3">
      <formula1>Годы</formula1>
    </dataValidation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T14:W16 G17 C12:G16 N11:O11 M13:S16 I12:L16 X12:AA16 M12:W12">
      <formula1>AND($G$3&lt;&gt;0,$H$3&lt;&gt;0,$I$3&lt;&gt;0,$C$5&lt;&gt;0,$E$21&lt;&gt;0,$E$22&lt;&gt;0,$E$23&lt;&gt;0,ISNUMBER(C11),IF(ISERROR(SEARCH(",?",C11)),0,1)=0)</formula1>
    </dataValidation>
    <dataValidation type="custom" showInputMessage="1" showErrorMessage="1" errorTitle="В Н И М А Н И Е !" error="Перед заполнением таблицы НУЖНО ВНАЧАЛЕ ввести:_x000a_1) дату и название организации;_x000a_2) сведения о гл.враче, исполнителе и ТЕЛЕФОНЕ ИСПОЛНИТЕЛЯ._x000a__x000a_В эту ячейку можно ввести ТОЛЬКО ЦЕЛОЕ ЧИСЛО._x000a_" sqref="H12:H16 G11:M11 C11:E11 P11:AA11">
      <formula1>AND($H$3&lt;&gt;0,$I$3&lt;&gt;0,$C$5&lt;&gt;0,$E$21&lt;&gt;0,$E$22&lt;&gt;0,$E$23&lt;&gt;0,ISNUMBER(C11),IF(ISERROR(SEARCH(",?",C11)),0,1)=0)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5" tint="0.39997558519241921"/>
    <pageSetUpPr fitToPage="1"/>
  </sheetPr>
  <dimension ref="A1:U40"/>
  <sheetViews>
    <sheetView tabSelected="1" zoomScale="55" zoomScaleNormal="55" workbookViewId="0">
      <selection activeCell="G21" sqref="G21"/>
    </sheetView>
  </sheetViews>
  <sheetFormatPr defaultColWidth="9.140625" defaultRowHeight="18.75" x14ac:dyDescent="0.3"/>
  <cols>
    <col min="1" max="1" width="18.7109375" style="7" customWidth="1"/>
    <col min="2" max="2" width="17.140625" style="7" customWidth="1"/>
    <col min="3" max="5" width="16.42578125" style="7" customWidth="1"/>
    <col min="6" max="6" width="25.85546875" style="7" customWidth="1"/>
    <col min="7" max="8" width="26.85546875" style="7" customWidth="1"/>
    <col min="9" max="16" width="22" style="7" customWidth="1"/>
    <col min="17" max="17" width="41.28515625" style="7" customWidth="1"/>
    <col min="18" max="18" width="18.42578125" style="7" hidden="1" customWidth="1"/>
    <col min="19" max="20" width="9.140625" style="7" hidden="1" customWidth="1"/>
    <col min="21" max="21" width="10.5703125" style="7" hidden="1" customWidth="1"/>
    <col min="22" max="27" width="9.140625" customWidth="1"/>
  </cols>
  <sheetData>
    <row r="1" spans="1:21" x14ac:dyDescent="0.3">
      <c r="I1" s="22" t="s">
        <v>93</v>
      </c>
      <c r="J1" s="22"/>
      <c r="K1" s="22"/>
      <c r="L1" s="22"/>
      <c r="M1" s="22"/>
      <c r="N1" s="22"/>
      <c r="O1" s="22"/>
      <c r="P1" s="22"/>
      <c r="Q1" s="8"/>
      <c r="R1" s="8"/>
    </row>
    <row r="2" spans="1:21" x14ac:dyDescent="0.3">
      <c r="I2" s="22" t="s">
        <v>94</v>
      </c>
      <c r="J2" s="22"/>
      <c r="K2" s="22"/>
      <c r="L2" s="22"/>
      <c r="M2" s="22"/>
      <c r="N2" s="22"/>
      <c r="O2" s="22"/>
      <c r="P2" s="22"/>
      <c r="Q2" s="8"/>
      <c r="R2" s="20"/>
    </row>
    <row r="3" spans="1:21" x14ac:dyDescent="0.3">
      <c r="I3" s="23" t="s">
        <v>95</v>
      </c>
      <c r="J3" s="23"/>
      <c r="K3" s="23"/>
      <c r="L3" s="23"/>
      <c r="M3" s="23"/>
      <c r="N3" s="23"/>
      <c r="O3" s="23"/>
      <c r="P3" s="23"/>
      <c r="Q3" s="8"/>
      <c r="R3" s="8"/>
    </row>
    <row r="4" spans="1:21" x14ac:dyDescent="0.3">
      <c r="I4" s="23" t="s">
        <v>96</v>
      </c>
      <c r="J4" s="23"/>
      <c r="K4" s="23"/>
      <c r="L4" s="23"/>
      <c r="M4" s="23"/>
      <c r="N4" s="23"/>
      <c r="O4" s="23"/>
      <c r="P4" s="23"/>
      <c r="Q4" s="21"/>
      <c r="R4" s="21"/>
    </row>
    <row r="5" spans="1:21" ht="15" x14ac:dyDescent="0.25">
      <c r="A5" s="5" t="str">
        <f>IF(F5=TRUE,DATEVALUE(F7&amp;"."&amp;VLOOKUP(G7,Help!$H$1:$I$12,2,0)&amp;"."&amp;H7),"22.07.1966")</f>
        <v>22.07.1966</v>
      </c>
      <c r="B5" s="5"/>
      <c r="C5" s="6" t="e">
        <f>F7&amp;"."&amp;VLOOKUP(G7,Help!$H$1:$I$12,2,0)&amp;"."&amp;H7</f>
        <v>#N/A</v>
      </c>
      <c r="D5" s="6"/>
      <c r="E5" s="6"/>
      <c r="F5" s="15" t="b">
        <f>AND(F7&lt;&gt;"",G7&lt;&gt;"",H7&lt;&gt;"")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6.75" customHeight="1" x14ac:dyDescent="0.3">
      <c r="A6" s="188" t="s">
        <v>97</v>
      </c>
      <c r="B6" s="189"/>
      <c r="C6" s="189"/>
      <c r="D6" s="189"/>
      <c r="E6" s="189"/>
      <c r="F6" s="189"/>
      <c r="G6" s="189"/>
      <c r="H6" s="189"/>
      <c r="I6" s="189"/>
      <c r="J6" s="81"/>
      <c r="K6" s="81"/>
      <c r="L6" s="81"/>
      <c r="M6" s="81"/>
      <c r="N6" s="81"/>
      <c r="O6" s="81"/>
      <c r="P6" s="81"/>
      <c r="Q6" s="9"/>
    </row>
    <row r="7" spans="1:21" x14ac:dyDescent="0.3">
      <c r="A7" s="3"/>
      <c r="B7" s="1"/>
      <c r="C7" s="1"/>
      <c r="D7" s="4"/>
      <c r="E7" s="170" t="s">
        <v>0</v>
      </c>
      <c r="F7" s="170"/>
      <c r="G7" s="110">
        <f>IF(профосмотры!$G$3&lt;&gt;"",профосмотры!$G$3,"")</f>
        <v>26</v>
      </c>
      <c r="H7" s="110" t="str">
        <f>IF(профосмотры!$H$3&lt;&gt;"",профосмотры!$H$3,"")</f>
        <v>сентября</v>
      </c>
      <c r="I7" s="110">
        <f>IF(профосмотры!$I$3&lt;&gt;"",профосмотры!$I$3,"")</f>
        <v>2024</v>
      </c>
      <c r="J7" s="79"/>
      <c r="K7" s="4"/>
      <c r="L7" s="2"/>
      <c r="M7" s="2"/>
      <c r="N7" s="2"/>
      <c r="O7" s="2"/>
      <c r="P7" s="2"/>
      <c r="Q7" s="1"/>
      <c r="R7" s="3"/>
      <c r="S7" s="3"/>
      <c r="T7" s="3"/>
      <c r="U7" s="3"/>
    </row>
    <row r="8" spans="1:21" ht="24" thickBot="1" x14ac:dyDescent="0.4">
      <c r="A8" s="65"/>
      <c r="B8" s="64"/>
      <c r="C8" s="64"/>
      <c r="D8" s="64"/>
      <c r="E8" s="64"/>
      <c r="F8" s="64"/>
      <c r="G8" s="67" t="s">
        <v>1</v>
      </c>
      <c r="H8" s="67" t="s">
        <v>2</v>
      </c>
      <c r="I8" s="67" t="s">
        <v>3</v>
      </c>
      <c r="J8" s="64"/>
      <c r="K8" s="64"/>
      <c r="L8" s="64"/>
      <c r="M8" s="64"/>
      <c r="N8" s="64"/>
      <c r="O8" s="64"/>
      <c r="P8" s="64"/>
      <c r="Q8" s="64"/>
      <c r="R8" s="66"/>
      <c r="S8" s="66"/>
      <c r="T8" s="66"/>
      <c r="U8" s="66"/>
    </row>
    <row r="9" spans="1:21" ht="24" customHeight="1" thickBot="1" x14ac:dyDescent="0.35">
      <c r="A9" s="207" t="str">
        <f>IF(профосмотры!$C$5&lt;&gt;"",профосмотры!$C$5,"")</f>
        <v>ГБУЗ «Нехаевская ЦРБ»</v>
      </c>
      <c r="B9" s="208"/>
      <c r="C9" s="208"/>
      <c r="D9" s="208"/>
      <c r="E9" s="208"/>
      <c r="F9" s="208"/>
      <c r="G9" s="208"/>
      <c r="H9" s="208"/>
      <c r="I9" s="209"/>
      <c r="J9" s="10"/>
      <c r="K9" s="10"/>
      <c r="L9" s="10"/>
      <c r="M9" s="10"/>
      <c r="N9" s="10"/>
      <c r="O9" s="10"/>
      <c r="P9" s="10"/>
      <c r="Q9" s="9"/>
    </row>
    <row r="10" spans="1:21" ht="27" customHeight="1" x14ac:dyDescent="0.25">
      <c r="A10" s="206" t="s">
        <v>98</v>
      </c>
      <c r="B10" s="206"/>
      <c r="C10" s="206"/>
      <c r="D10" s="206"/>
      <c r="E10" s="206"/>
      <c r="F10" s="206"/>
      <c r="G10" s="206"/>
      <c r="H10" s="206"/>
      <c r="I10" s="206"/>
      <c r="J10" s="25"/>
      <c r="K10" s="25"/>
      <c r="L10" s="25"/>
      <c r="M10" s="25"/>
      <c r="N10" s="25"/>
      <c r="O10" s="25"/>
      <c r="P10" s="25"/>
      <c r="Q10" s="10"/>
      <c r="R10" s="10"/>
      <c r="S10" s="10"/>
      <c r="T10" s="10"/>
      <c r="U10" s="10"/>
    </row>
    <row r="11" spans="1:21" ht="18.75" customHeight="1" x14ac:dyDescent="0.3">
      <c r="A11" s="202" t="s">
        <v>99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6"/>
      <c r="M11" s="26"/>
      <c r="N11" s="26"/>
      <c r="O11" s="26"/>
      <c r="P11" s="26"/>
      <c r="Q11" s="10"/>
    </row>
    <row r="12" spans="1:21" ht="66" customHeight="1" x14ac:dyDescent="0.3">
      <c r="A12" s="186" t="s">
        <v>100</v>
      </c>
      <c r="B12" s="186" t="s">
        <v>101</v>
      </c>
      <c r="C12" s="186" t="s">
        <v>102</v>
      </c>
      <c r="D12" s="186"/>
      <c r="E12" s="186"/>
      <c r="F12" s="186"/>
      <c r="G12" s="186"/>
      <c r="H12" s="186" t="s">
        <v>103</v>
      </c>
      <c r="I12" s="186" t="s">
        <v>104</v>
      </c>
      <c r="J12" s="186" t="s">
        <v>105</v>
      </c>
      <c r="K12" s="186" t="s">
        <v>106</v>
      </c>
      <c r="L12" s="185" t="s">
        <v>107</v>
      </c>
      <c r="M12" s="187" t="s">
        <v>295</v>
      </c>
      <c r="N12" s="187"/>
      <c r="O12" s="187" t="s">
        <v>296</v>
      </c>
      <c r="P12" s="187"/>
      <c r="Q12" s="157" t="s">
        <v>14</v>
      </c>
      <c r="R12"/>
      <c r="S12" s="10"/>
      <c r="T12" s="10"/>
    </row>
    <row r="13" spans="1:21" ht="62.25" customHeight="1" x14ac:dyDescent="0.3">
      <c r="A13" s="186"/>
      <c r="B13" s="186"/>
      <c r="C13" s="49" t="s">
        <v>108</v>
      </c>
      <c r="D13" s="82" t="s">
        <v>101</v>
      </c>
      <c r="E13" s="82" t="s">
        <v>109</v>
      </c>
      <c r="F13" s="82" t="s">
        <v>110</v>
      </c>
      <c r="G13" s="82" t="s">
        <v>111</v>
      </c>
      <c r="H13" s="186"/>
      <c r="I13" s="186"/>
      <c r="J13" s="186"/>
      <c r="K13" s="186"/>
      <c r="L13" s="185"/>
      <c r="M13" s="93" t="s">
        <v>277</v>
      </c>
      <c r="N13" s="93" t="s">
        <v>21</v>
      </c>
      <c r="O13" s="93" t="s">
        <v>277</v>
      </c>
      <c r="P13" s="93" t="s">
        <v>21</v>
      </c>
      <c r="Q13" s="157"/>
      <c r="R13"/>
      <c r="S13" s="10"/>
      <c r="T13" s="10"/>
    </row>
    <row r="14" spans="1:21" ht="12.75" customHeight="1" x14ac:dyDescent="0.25">
      <c r="A14" s="19">
        <v>1</v>
      </c>
      <c r="B14" s="19">
        <v>2</v>
      </c>
      <c r="C14" s="19">
        <v>3</v>
      </c>
      <c r="D14" s="19">
        <v>4</v>
      </c>
      <c r="E14" s="19">
        <v>5</v>
      </c>
      <c r="F14" s="50" t="s">
        <v>36</v>
      </c>
      <c r="G14" s="19">
        <v>6</v>
      </c>
      <c r="H14" s="19">
        <v>7</v>
      </c>
      <c r="I14" s="50" t="s">
        <v>112</v>
      </c>
      <c r="J14" s="50" t="s">
        <v>113</v>
      </c>
      <c r="K14" s="50" t="s">
        <v>114</v>
      </c>
      <c r="L14" s="91">
        <v>8</v>
      </c>
      <c r="M14" s="85">
        <v>9</v>
      </c>
      <c r="N14" s="50" t="s">
        <v>37</v>
      </c>
      <c r="O14" s="85">
        <v>10</v>
      </c>
      <c r="P14" s="50" t="s">
        <v>39</v>
      </c>
      <c r="Q14" s="157"/>
      <c r="R14" s="27"/>
      <c r="S14" s="10"/>
      <c r="T14" s="10"/>
      <c r="U14" s="8"/>
    </row>
    <row r="15" spans="1:21" ht="24.75" customHeight="1" x14ac:dyDescent="0.3">
      <c r="A15" s="51">
        <f>профосмотры!E15</f>
        <v>187</v>
      </c>
      <c r="B15" s="51">
        <f>профосмотры!F15</f>
        <v>187</v>
      </c>
      <c r="C15" s="51">
        <f>профосмотры!H15</f>
        <v>187</v>
      </c>
      <c r="D15" s="52">
        <f>профосмотры!I15</f>
        <v>187</v>
      </c>
      <c r="E15" s="48">
        <v>1870</v>
      </c>
      <c r="F15" s="48">
        <v>1870</v>
      </c>
      <c r="G15" s="52">
        <f>C15</f>
        <v>187</v>
      </c>
      <c r="H15" s="48">
        <v>1</v>
      </c>
      <c r="I15" s="48">
        <v>1</v>
      </c>
      <c r="J15" s="48"/>
      <c r="K15" s="48"/>
      <c r="L15" s="92"/>
      <c r="M15" s="48"/>
      <c r="N15" s="48"/>
      <c r="O15" s="48"/>
      <c r="P15" s="48"/>
      <c r="Q15" s="16" t="str">
        <f>IF(T15&gt;0,"гр.2 &gt; гр.1 по строке «"&amp;S15&amp;"»","ОК")</f>
        <v>ОК</v>
      </c>
      <c r="R15" s="111" t="s">
        <v>115</v>
      </c>
      <c r="S15" s="17" t="str">
        <f>IF(T15&gt;0,1,CHAR(151))</f>
        <v>—</v>
      </c>
      <c r="T15" s="18">
        <f>IF(ISERROR(MATCH(FALSE,U15,0)),0,MATCH(FALSE,U15,0))</f>
        <v>0</v>
      </c>
      <c r="U15" s="18" t="b">
        <f>$B15&lt;=$A15</f>
        <v>1</v>
      </c>
    </row>
    <row r="16" spans="1:21" ht="18.75" customHeight="1" x14ac:dyDescent="0.3">
      <c r="Q16" s="16" t="str">
        <f>IF(T16&gt;0,"гр.4 &gt; гр.3 по строке «"&amp;S16&amp;"»","ОК")</f>
        <v>ОК</v>
      </c>
      <c r="R16" s="111" t="s">
        <v>116</v>
      </c>
      <c r="S16" s="17" t="str">
        <f>IF(T16&gt;0,1,CHAR(151))</f>
        <v>—</v>
      </c>
      <c r="T16" s="18">
        <f>IF(ISERROR(MATCH(FALSE,U16,0)),0,MATCH(FALSE,U16,0))</f>
        <v>0</v>
      </c>
      <c r="U16" s="18" t="b">
        <f>D15&lt;=C15</f>
        <v>1</v>
      </c>
    </row>
    <row r="17" spans="1:21" ht="18.75" customHeight="1" x14ac:dyDescent="0.3">
      <c r="A17" s="204" t="s">
        <v>117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8"/>
      <c r="M17" s="28"/>
      <c r="N17" s="28"/>
      <c r="O17" s="28"/>
      <c r="P17" s="28"/>
      <c r="Q17" s="16" t="str">
        <f>IF(T17&gt;0,"гр.5.1 &gt; гр.5 по строке «"&amp;S17&amp;"»","ОК")</f>
        <v>ОК</v>
      </c>
      <c r="R17" s="111" t="s">
        <v>118</v>
      </c>
      <c r="S17" s="17" t="str">
        <f>IF(T17&gt;0,1,CHAR(151))</f>
        <v>—</v>
      </c>
      <c r="T17" s="18">
        <f>IF(ISERROR(MATCH(FALSE,U17,0)),0,MATCH(FALSE,U17,0))</f>
        <v>0</v>
      </c>
      <c r="U17" s="18" t="b">
        <f>F15&lt;=E15</f>
        <v>1</v>
      </c>
    </row>
    <row r="18" spans="1:21" ht="39" customHeight="1" x14ac:dyDescent="0.25">
      <c r="A18" s="186" t="s">
        <v>100</v>
      </c>
      <c r="B18" s="186" t="s">
        <v>101</v>
      </c>
      <c r="C18" s="186" t="s">
        <v>102</v>
      </c>
      <c r="D18" s="186"/>
      <c r="E18" s="186"/>
      <c r="F18" s="186"/>
      <c r="G18" s="186"/>
      <c r="H18" s="186" t="s">
        <v>119</v>
      </c>
      <c r="I18" s="186" t="s">
        <v>120</v>
      </c>
      <c r="J18" s="186" t="s">
        <v>121</v>
      </c>
      <c r="K18" s="186" t="s">
        <v>122</v>
      </c>
      <c r="L18" s="185" t="s">
        <v>290</v>
      </c>
      <c r="M18" s="187" t="s">
        <v>297</v>
      </c>
      <c r="N18" s="187"/>
      <c r="O18" s="187" t="s">
        <v>298</v>
      </c>
      <c r="P18" s="187"/>
      <c r="Q18" s="16" t="str">
        <f>IF(T18&gt;0,"гр.6 &gt; гр.3 по строке «"&amp;S18&amp;"»","ОК")</f>
        <v>ОК</v>
      </c>
      <c r="R18" s="111" t="s">
        <v>123</v>
      </c>
      <c r="S18" s="17" t="str">
        <f>IF(T18&gt;0,1,CHAR(151))</f>
        <v>—</v>
      </c>
      <c r="T18" s="18">
        <f>IF(ISERROR(MATCH(FALSE,U18,0)),0,MATCH(FALSE,U18,0))</f>
        <v>0</v>
      </c>
      <c r="U18" s="18" t="b">
        <f>G15&lt;=C15</f>
        <v>1</v>
      </c>
    </row>
    <row r="19" spans="1:21" ht="66" x14ac:dyDescent="0.25">
      <c r="A19" s="186"/>
      <c r="B19" s="186"/>
      <c r="C19" s="49" t="s">
        <v>108</v>
      </c>
      <c r="D19" s="82" t="s">
        <v>101</v>
      </c>
      <c r="E19" s="82" t="s">
        <v>109</v>
      </c>
      <c r="F19" s="82" t="s">
        <v>124</v>
      </c>
      <c r="G19" s="82" t="s">
        <v>125</v>
      </c>
      <c r="H19" s="186"/>
      <c r="I19" s="186"/>
      <c r="J19" s="186"/>
      <c r="K19" s="186"/>
      <c r="L19" s="185"/>
      <c r="M19" s="93" t="s">
        <v>277</v>
      </c>
      <c r="N19" s="93" t="s">
        <v>21</v>
      </c>
      <c r="O19" s="93" t="s">
        <v>277</v>
      </c>
      <c r="P19" s="93" t="s">
        <v>21</v>
      </c>
      <c r="Q19" s="16" t="str">
        <f>IF(T19&gt;0,"гр.7 &gt; гр.6 по строке «"&amp;S19&amp;"»","ОК")</f>
        <v>ОК</v>
      </c>
      <c r="R19" s="111" t="s">
        <v>126</v>
      </c>
      <c r="S19" s="17" t="str">
        <f>IF(T19&gt;0,1,CHAR(151))</f>
        <v>—</v>
      </c>
      <c r="T19" s="18">
        <f>IF(ISERROR(MATCH(FALSE,U19,0)),0,MATCH(FALSE,U19,0))</f>
        <v>0</v>
      </c>
      <c r="U19" s="18" t="b">
        <f>H15&lt;=G15</f>
        <v>1</v>
      </c>
    </row>
    <row r="20" spans="1:21" ht="12.75" customHeight="1" x14ac:dyDescent="0.3">
      <c r="A20" s="19">
        <v>11</v>
      </c>
      <c r="B20" s="19">
        <v>12</v>
      </c>
      <c r="C20" s="19">
        <v>13</v>
      </c>
      <c r="D20" s="50" t="s">
        <v>278</v>
      </c>
      <c r="E20" s="19">
        <v>14</v>
      </c>
      <c r="F20" s="50" t="s">
        <v>127</v>
      </c>
      <c r="G20" s="50" t="s">
        <v>279</v>
      </c>
      <c r="H20" s="19">
        <v>16</v>
      </c>
      <c r="I20" s="50" t="s">
        <v>280</v>
      </c>
      <c r="J20" s="50" t="s">
        <v>281</v>
      </c>
      <c r="K20" s="50" t="s">
        <v>282</v>
      </c>
      <c r="L20" s="91">
        <v>17</v>
      </c>
      <c r="M20" s="19">
        <v>18</v>
      </c>
      <c r="N20" s="50" t="s">
        <v>283</v>
      </c>
      <c r="O20" s="19">
        <v>19</v>
      </c>
      <c r="P20" s="50" t="s">
        <v>284</v>
      </c>
      <c r="Q20" s="10"/>
      <c r="S20" s="10"/>
      <c r="T20" s="10"/>
      <c r="U20" s="10"/>
    </row>
    <row r="21" spans="1:21" ht="25.5" customHeight="1" x14ac:dyDescent="0.3">
      <c r="A21" s="51">
        <f>профосмотры!E14-профосмотры!E15</f>
        <v>178</v>
      </c>
      <c r="B21" s="51">
        <f>профосмотры!F14-профосмотры!F15</f>
        <v>178</v>
      </c>
      <c r="C21" s="51">
        <f>профосмотры!H14-профосмотры!H15</f>
        <v>178</v>
      </c>
      <c r="D21" s="51">
        <f>профосмотры!I14-профосмотры!I15</f>
        <v>178</v>
      </c>
      <c r="E21" s="48">
        <v>1780</v>
      </c>
      <c r="F21" s="48">
        <v>1780</v>
      </c>
      <c r="G21" s="51">
        <f>C21</f>
        <v>178</v>
      </c>
      <c r="H21" s="48">
        <v>3</v>
      </c>
      <c r="I21" s="48">
        <v>3</v>
      </c>
      <c r="J21" s="48"/>
      <c r="K21" s="48"/>
      <c r="L21" s="92"/>
      <c r="M21" s="48"/>
      <c r="N21" s="48"/>
      <c r="O21" s="48"/>
      <c r="P21" s="48"/>
      <c r="Q21" s="16" t="str">
        <f>IF(T21&gt;0,"гр.7.1 &gt; гр.7 по строке «"&amp;S21&amp;"»","ОК")</f>
        <v>ОК</v>
      </c>
      <c r="R21" s="111" t="s">
        <v>128</v>
      </c>
      <c r="S21" s="17" t="str">
        <f>IF(T21&gt;0,1,CHAR(151))</f>
        <v>—</v>
      </c>
      <c r="T21" s="18">
        <f t="shared" ref="T21:T23" si="0">IF(ISERROR(MATCH(FALSE,U21,0)),0,MATCH(FALSE,U21,0))</f>
        <v>0</v>
      </c>
      <c r="U21" s="18" t="b">
        <f>I15&lt;=H15</f>
        <v>1</v>
      </c>
    </row>
    <row r="22" spans="1:21" ht="25.5" customHeight="1" x14ac:dyDescent="0.3">
      <c r="A22" s="211" t="s">
        <v>129</v>
      </c>
      <c r="B22" s="211"/>
      <c r="C22" s="211"/>
      <c r="D22" s="2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6" t="str">
        <f>IF(T22&gt;0,"гр.7.2 &gt; гр.7 по строке «"&amp;S22&amp;"»","ОК")</f>
        <v>ОК</v>
      </c>
      <c r="R22" s="111" t="s">
        <v>130</v>
      </c>
      <c r="S22" s="17" t="str">
        <f>IF(T22&gt;0,1,CHAR(151))</f>
        <v>—</v>
      </c>
      <c r="T22" s="18">
        <f t="shared" si="0"/>
        <v>0</v>
      </c>
      <c r="U22" s="18" t="b">
        <f>J$15&lt;=H$15</f>
        <v>1</v>
      </c>
    </row>
    <row r="23" spans="1:21" ht="25.5" customHeight="1" thickBo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6" t="str">
        <f>IF(T23&gt;0,"гр.7.3 &gt; гр.7.2 по строке «"&amp;S23&amp;"»","ОК")</f>
        <v>ОК</v>
      </c>
      <c r="R23" s="111" t="s">
        <v>131</v>
      </c>
      <c r="S23" s="17" t="str">
        <f>IF(T23&gt;0,1,CHAR(151))</f>
        <v>—</v>
      </c>
      <c r="T23" s="18">
        <f t="shared" si="0"/>
        <v>0</v>
      </c>
      <c r="U23" s="18" t="b">
        <f>K15&lt;=J15</f>
        <v>1</v>
      </c>
    </row>
    <row r="24" spans="1:21" ht="25.5" customHeight="1" x14ac:dyDescent="0.3">
      <c r="A24" s="196" t="s">
        <v>59</v>
      </c>
      <c r="B24" s="197"/>
      <c r="C24" s="197"/>
      <c r="D24" s="84"/>
      <c r="E24" s="84"/>
      <c r="F24" s="198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G24" s="199"/>
      <c r="H24" s="200"/>
      <c r="I24" s="201"/>
      <c r="Q24" s="16" t="str">
        <f>IF(T24&gt;0,"гр.8 &gt; гр.7.2 по строке «"&amp;S24&amp;"»","ОК")</f>
        <v>ОК</v>
      </c>
      <c r="R24" s="111" t="s">
        <v>300</v>
      </c>
      <c r="S24" s="17" t="str">
        <f>IF(T24&gt;0,1,CHAR(151))</f>
        <v>—</v>
      </c>
      <c r="T24" s="18">
        <f t="shared" ref="T24:T36" si="1">IF(ISERROR(MATCH(FALSE,U24,0)),0,MATCH(FALSE,U24,0))</f>
        <v>0</v>
      </c>
      <c r="U24" s="18" t="b">
        <f>L15&lt;=J15</f>
        <v>1</v>
      </c>
    </row>
    <row r="25" spans="1:21" ht="25.5" customHeight="1" x14ac:dyDescent="0.3">
      <c r="A25" s="190" t="s">
        <v>61</v>
      </c>
      <c r="B25" s="191"/>
      <c r="C25" s="191"/>
      <c r="D25" s="83"/>
      <c r="E25" s="83"/>
      <c r="F25" s="192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G25" s="193"/>
      <c r="H25" s="194"/>
      <c r="I25" s="195"/>
      <c r="Q25" s="16" t="str">
        <f>IF(T25&gt;0,"гр.8 &gt; гр.3 по строке «"&amp;S25&amp;"»","ОК")</f>
        <v>ОК</v>
      </c>
      <c r="R25" s="111" t="s">
        <v>132</v>
      </c>
      <c r="S25" s="17" t="str">
        <f>IF(T25&gt;0,1,CHAR(151))</f>
        <v>—</v>
      </c>
      <c r="T25" s="18">
        <f t="shared" si="1"/>
        <v>0</v>
      </c>
      <c r="U25" s="18" t="b">
        <f>L15&lt;=C15</f>
        <v>1</v>
      </c>
    </row>
    <row r="26" spans="1:21" ht="25.5" customHeight="1" thickBot="1" x14ac:dyDescent="0.35">
      <c r="A26" s="212" t="s">
        <v>63</v>
      </c>
      <c r="B26" s="213"/>
      <c r="C26" s="213"/>
      <c r="D26" s="80"/>
      <c r="E26" s="80"/>
      <c r="F26" s="214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G26" s="215"/>
      <c r="H26" s="216"/>
      <c r="I26" s="217"/>
      <c r="Q26" s="16" t="str">
        <f>IF(T26&gt;0,"гр.10 &gt; гр.9 по строке «"&amp;S26&amp;"»","ОК")</f>
        <v>ОК</v>
      </c>
      <c r="R26" s="111" t="s">
        <v>133</v>
      </c>
      <c r="S26" s="17" t="str">
        <f t="shared" ref="S26:S34" si="2">IF(T26&gt;0,2,CHAR(151))</f>
        <v>—</v>
      </c>
      <c r="T26" s="18">
        <f t="shared" si="1"/>
        <v>0</v>
      </c>
      <c r="U26" s="18" t="b">
        <f>B21&lt;=A21</f>
        <v>1</v>
      </c>
    </row>
    <row r="27" spans="1:21" ht="25.5" customHeight="1" x14ac:dyDescent="0.3">
      <c r="Q27" s="16" t="str">
        <f>IF(T27&gt;0,"гр.11.1 &gt; гр.11 по строке «"&amp;S27&amp;"»","ОК")</f>
        <v>ОК</v>
      </c>
      <c r="R27" s="111" t="s">
        <v>302</v>
      </c>
      <c r="S27" s="17" t="str">
        <f t="shared" si="2"/>
        <v>—</v>
      </c>
      <c r="T27" s="18">
        <f t="shared" si="1"/>
        <v>0</v>
      </c>
      <c r="U27" s="18" t="b">
        <f>D21&lt;=C21</f>
        <v>1</v>
      </c>
    </row>
    <row r="28" spans="1:21" ht="25.5" customHeight="1" x14ac:dyDescent="0.3">
      <c r="B28" s="210" t="s">
        <v>67</v>
      </c>
      <c r="C28" s="210"/>
      <c r="D28" s="210" t="s">
        <v>69</v>
      </c>
      <c r="E28" s="210"/>
      <c r="F28" s="210" t="s">
        <v>286</v>
      </c>
      <c r="G28" s="210"/>
      <c r="H28" s="93" t="s">
        <v>275</v>
      </c>
      <c r="I28" s="93"/>
      <c r="J28" s="93" t="s">
        <v>276</v>
      </c>
      <c r="K28" s="98"/>
      <c r="M28" s="101"/>
      <c r="Q28" s="16" t="str">
        <f>IF(T28&gt;0,"гр.12.1 &gt; гр.12 по строке «"&amp;S28&amp;"»","ОК")</f>
        <v>ОК</v>
      </c>
      <c r="R28" s="111" t="s">
        <v>303</v>
      </c>
      <c r="S28" s="17" t="str">
        <f t="shared" si="2"/>
        <v>—</v>
      </c>
      <c r="T28" s="18">
        <f t="shared" si="1"/>
        <v>0</v>
      </c>
      <c r="U28" s="18" t="b">
        <f>F21&lt;=E21</f>
        <v>1</v>
      </c>
    </row>
    <row r="29" spans="1:21" ht="48" x14ac:dyDescent="0.3">
      <c r="A29" s="29" t="s">
        <v>292</v>
      </c>
      <c r="B29" s="94" t="s">
        <v>20</v>
      </c>
      <c r="C29" s="94" t="s">
        <v>135</v>
      </c>
      <c r="D29" s="94" t="s">
        <v>20</v>
      </c>
      <c r="E29" s="94" t="s">
        <v>135</v>
      </c>
      <c r="F29" s="94" t="s">
        <v>20</v>
      </c>
      <c r="G29" s="94" t="s">
        <v>135</v>
      </c>
      <c r="H29" s="93" t="s">
        <v>277</v>
      </c>
      <c r="I29" s="93" t="s">
        <v>21</v>
      </c>
      <c r="J29" s="93" t="s">
        <v>277</v>
      </c>
      <c r="K29" s="98" t="s">
        <v>21</v>
      </c>
      <c r="M29" s="101"/>
      <c r="Q29" s="16" t="str">
        <f>IF(T29&gt;0,"гр.13 &gt; гр.11 по строке «"&amp;S29&amp;"»","ОК")</f>
        <v>ОК</v>
      </c>
      <c r="R29" s="111" t="s">
        <v>134</v>
      </c>
      <c r="S29" s="17" t="str">
        <f t="shared" si="2"/>
        <v>—</v>
      </c>
      <c r="T29" s="18">
        <f t="shared" si="1"/>
        <v>0</v>
      </c>
      <c r="U29" s="18" t="b">
        <f>G21&lt;=C21</f>
        <v>1</v>
      </c>
    </row>
    <row r="30" spans="1:21" ht="25.5" customHeight="1" x14ac:dyDescent="0.3">
      <c r="A30" s="24" t="s">
        <v>136</v>
      </c>
      <c r="B30" s="24" t="s">
        <v>77</v>
      </c>
      <c r="C30" s="24" t="s">
        <v>78</v>
      </c>
      <c r="D30" s="24" t="s">
        <v>79</v>
      </c>
      <c r="E30" s="24" t="s">
        <v>80</v>
      </c>
      <c r="F30" s="24" t="s">
        <v>81</v>
      </c>
      <c r="G30" s="24" t="s">
        <v>82</v>
      </c>
      <c r="H30" s="24" t="s">
        <v>83</v>
      </c>
      <c r="I30" s="24" t="s">
        <v>84</v>
      </c>
      <c r="J30" s="24" t="s">
        <v>85</v>
      </c>
      <c r="K30" s="99" t="s">
        <v>86</v>
      </c>
      <c r="L30" s="102"/>
      <c r="M30" s="102"/>
      <c r="Q30" s="16" t="str">
        <f>IF(T30&gt;0,"гр.14 &gt; гр.13 по строке «"&amp;S30&amp;"»","ОК")</f>
        <v>ОК</v>
      </c>
      <c r="R30" s="111" t="s">
        <v>289</v>
      </c>
      <c r="S30" s="17" t="str">
        <f t="shared" si="2"/>
        <v>—</v>
      </c>
      <c r="T30" s="18">
        <f t="shared" si="1"/>
        <v>0</v>
      </c>
      <c r="U30" s="18" t="b">
        <f>H21&lt;=G21</f>
        <v>1</v>
      </c>
    </row>
    <row r="31" spans="1:21" ht="30.75" x14ac:dyDescent="0.3">
      <c r="A31" s="29" t="s">
        <v>138</v>
      </c>
      <c r="B31" s="51">
        <f t="shared" ref="B31:K31" si="3">B32+B33</f>
        <v>365</v>
      </c>
      <c r="C31" s="51">
        <f t="shared" si="3"/>
        <v>365</v>
      </c>
      <c r="D31" s="51">
        <f t="shared" si="3"/>
        <v>365</v>
      </c>
      <c r="E31" s="51">
        <f t="shared" si="3"/>
        <v>365</v>
      </c>
      <c r="F31" s="51">
        <f t="shared" si="3"/>
        <v>4</v>
      </c>
      <c r="G31" s="51">
        <f>G32+G33</f>
        <v>4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100">
        <f t="shared" si="3"/>
        <v>0</v>
      </c>
      <c r="L31" s="103"/>
      <c r="M31" s="103"/>
      <c r="Q31" s="16" t="str">
        <f>IF(T31&gt;0,"гр.14.1 &gt; гр.14 по строке «"&amp;S31&amp;"»","ОК")</f>
        <v>ОК</v>
      </c>
      <c r="R31" s="111" t="s">
        <v>137</v>
      </c>
      <c r="S31" s="17" t="str">
        <f t="shared" si="2"/>
        <v>—</v>
      </c>
      <c r="T31" s="18">
        <f t="shared" si="1"/>
        <v>0</v>
      </c>
      <c r="U31" s="18" t="b">
        <f>I21&lt;=H21</f>
        <v>1</v>
      </c>
    </row>
    <row r="32" spans="1:21" ht="45.75" x14ac:dyDescent="0.3">
      <c r="A32" s="24" t="s">
        <v>139</v>
      </c>
      <c r="B32" s="51">
        <f>A15</f>
        <v>187</v>
      </c>
      <c r="C32" s="51">
        <f>B15</f>
        <v>187</v>
      </c>
      <c r="D32" s="51">
        <f>C15</f>
        <v>187</v>
      </c>
      <c r="E32" s="51">
        <f>D15</f>
        <v>187</v>
      </c>
      <c r="F32" s="51">
        <f>H15</f>
        <v>1</v>
      </c>
      <c r="G32" s="51">
        <f>I15</f>
        <v>1</v>
      </c>
      <c r="H32" s="51">
        <f>M15</f>
        <v>0</v>
      </c>
      <c r="I32" s="51">
        <f>N15</f>
        <v>0</v>
      </c>
      <c r="J32" s="51">
        <f t="shared" ref="J32:K32" si="4">O15</f>
        <v>0</v>
      </c>
      <c r="K32" s="100">
        <f t="shared" si="4"/>
        <v>0</v>
      </c>
      <c r="L32" s="103"/>
      <c r="M32" s="103"/>
      <c r="Q32" s="16" t="str">
        <f>IF(T32&gt;0,"гр.14.2 &gt; гр.14 по строке «"&amp;S32&amp;"»","ОК")</f>
        <v>ОК</v>
      </c>
      <c r="R32" s="111" t="s">
        <v>304</v>
      </c>
      <c r="S32" s="17" t="str">
        <f t="shared" si="2"/>
        <v>—</v>
      </c>
      <c r="T32" s="18">
        <f t="shared" si="1"/>
        <v>0</v>
      </c>
      <c r="U32" s="18" t="b">
        <f>J21&lt;=H21</f>
        <v>1</v>
      </c>
    </row>
    <row r="33" spans="1:21" ht="30.75" x14ac:dyDescent="0.3">
      <c r="A33" s="24" t="s">
        <v>140</v>
      </c>
      <c r="B33" s="51">
        <f>A21</f>
        <v>178</v>
      </c>
      <c r="C33" s="51">
        <f>B21</f>
        <v>178</v>
      </c>
      <c r="D33" s="51">
        <f>C21</f>
        <v>178</v>
      </c>
      <c r="E33" s="51">
        <f>D21</f>
        <v>178</v>
      </c>
      <c r="F33" s="51">
        <f>H21</f>
        <v>3</v>
      </c>
      <c r="G33" s="51">
        <f>I21</f>
        <v>3</v>
      </c>
      <c r="H33" s="51">
        <f>M21</f>
        <v>0</v>
      </c>
      <c r="I33" s="51">
        <f>N21</f>
        <v>0</v>
      </c>
      <c r="J33" s="51">
        <f>O21</f>
        <v>0</v>
      </c>
      <c r="K33" s="100">
        <f>P21</f>
        <v>0</v>
      </c>
      <c r="M33" s="103"/>
      <c r="Q33" s="16" t="str">
        <f>IF(T33&gt;0,"гр.14.3 &gt; гр.14.2 по строке «"&amp;S33&amp;"»","ОК")</f>
        <v>ОК</v>
      </c>
      <c r="R33" s="111" t="s">
        <v>305</v>
      </c>
      <c r="S33" s="17" t="str">
        <f t="shared" si="2"/>
        <v>—</v>
      </c>
      <c r="T33" s="18">
        <f t="shared" si="1"/>
        <v>0</v>
      </c>
      <c r="U33" s="18" t="b">
        <f>K21&lt;=J21</f>
        <v>1</v>
      </c>
    </row>
    <row r="34" spans="1:21" x14ac:dyDescent="0.3">
      <c r="Q34" s="16" t="str">
        <f>IF(T34&gt;0,"гр.15 &gt; гр.11 по строке «"&amp;S34&amp;"»","ОК")</f>
        <v>ОК</v>
      </c>
      <c r="R34" s="111" t="s">
        <v>306</v>
      </c>
      <c r="S34" s="17" t="str">
        <f t="shared" si="2"/>
        <v>—</v>
      </c>
      <c r="T34" s="18">
        <f t="shared" si="1"/>
        <v>0</v>
      </c>
      <c r="U34" s="18" t="b">
        <f>L21&lt;=C21</f>
        <v>1</v>
      </c>
    </row>
    <row r="35" spans="1:21" x14ac:dyDescent="0.3">
      <c r="Q35" s="16" t="str">
        <f>IF(T35&gt;0,"гр.16.2 &gt; гр.16 по строке «"&amp;S35&amp;"»","ОК")</f>
        <v>ОК</v>
      </c>
      <c r="R35" s="111" t="s">
        <v>301</v>
      </c>
      <c r="S35" s="17" t="str">
        <f t="shared" ref="S35" si="5">IF(T35&gt;0,2,CHAR(151))</f>
        <v>—</v>
      </c>
      <c r="T35" s="18">
        <f t="shared" si="1"/>
        <v>0</v>
      </c>
      <c r="U35" s="18" t="b">
        <f>J21&lt;=H21</f>
        <v>1</v>
      </c>
    </row>
    <row r="36" spans="1:21" x14ac:dyDescent="0.3">
      <c r="Q36" s="16" t="str">
        <f>IF(T36&gt;0,"гр.17 &gt; гр.16.2 по строке «"&amp;S36&amp;"»","ОК")</f>
        <v>ОК</v>
      </c>
      <c r="R36" s="111" t="s">
        <v>291</v>
      </c>
      <c r="S36" s="17" t="str">
        <f t="shared" ref="S36" si="6">IF(T36&gt;0,2,CHAR(151))</f>
        <v>—</v>
      </c>
      <c r="T36" s="18">
        <f t="shared" si="1"/>
        <v>0</v>
      </c>
      <c r="U36" s="18" t="b">
        <f>L21&lt;=J21</f>
        <v>1</v>
      </c>
    </row>
    <row r="37" spans="1:21" x14ac:dyDescent="0.3">
      <c r="Q37"/>
      <c r="R37"/>
      <c r="S37"/>
      <c r="T37"/>
      <c r="U37"/>
    </row>
    <row r="38" spans="1:21" x14ac:dyDescent="0.3">
      <c r="Q38"/>
      <c r="R38"/>
      <c r="S38"/>
      <c r="T38"/>
      <c r="U38"/>
    </row>
    <row r="39" spans="1:21" x14ac:dyDescent="0.3">
      <c r="Q39"/>
      <c r="R39"/>
      <c r="S39"/>
      <c r="T39"/>
      <c r="U39"/>
    </row>
    <row r="40" spans="1:21" x14ac:dyDescent="0.3">
      <c r="Q40"/>
      <c r="R40"/>
      <c r="S40"/>
      <c r="T40"/>
      <c r="U40"/>
    </row>
  </sheetData>
  <sheetProtection password="DB70" sheet="1" objects="1" scenarios="1" autoFilter="0"/>
  <mergeCells count="37">
    <mergeCell ref="B28:C28"/>
    <mergeCell ref="D28:E28"/>
    <mergeCell ref="F28:G28"/>
    <mergeCell ref="M18:N18"/>
    <mergeCell ref="O18:P18"/>
    <mergeCell ref="B18:B19"/>
    <mergeCell ref="A22:D22"/>
    <mergeCell ref="K18:K19"/>
    <mergeCell ref="L18:L19"/>
    <mergeCell ref="I18:I19"/>
    <mergeCell ref="J18:J19"/>
    <mergeCell ref="H18:H19"/>
    <mergeCell ref="A26:C26"/>
    <mergeCell ref="F26:I26"/>
    <mergeCell ref="A6:I6"/>
    <mergeCell ref="A12:A13"/>
    <mergeCell ref="A18:A19"/>
    <mergeCell ref="A25:C25"/>
    <mergeCell ref="F25:I25"/>
    <mergeCell ref="B12:B13"/>
    <mergeCell ref="A24:C24"/>
    <mergeCell ref="F24:I24"/>
    <mergeCell ref="E7:F7"/>
    <mergeCell ref="A11:K11"/>
    <mergeCell ref="A17:K17"/>
    <mergeCell ref="C18:G18"/>
    <mergeCell ref="K12:K13"/>
    <mergeCell ref="A10:I10"/>
    <mergeCell ref="A9:I9"/>
    <mergeCell ref="Q12:Q14"/>
    <mergeCell ref="L12:L13"/>
    <mergeCell ref="C12:G12"/>
    <mergeCell ref="I12:I13"/>
    <mergeCell ref="J12:J13"/>
    <mergeCell ref="H12:H13"/>
    <mergeCell ref="M12:N12"/>
    <mergeCell ref="O12:P12"/>
  </mergeCells>
  <conditionalFormatting sqref="B8">
    <cfRule type="expression" dxfId="11" priority="4">
      <formula>ISERROR($A$1)</formula>
    </cfRule>
  </conditionalFormatting>
  <conditionalFormatting sqref="Q15:Q19">
    <cfRule type="expression" dxfId="10" priority="19" stopIfTrue="1">
      <formula>Q15&lt;&gt;"ОК"</formula>
    </cfRule>
  </conditionalFormatting>
  <conditionalFormatting sqref="Q21:Q36">
    <cfRule type="expression" dxfId="9" priority="1" stopIfTrue="1">
      <formula>Q21&lt;&gt;"ОК"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E21:F21 E15:F15 H21:P21 H15:P15">
      <formula1>AND($G$7&lt;&gt;0,$H$7&lt;&gt;0,$I$7&lt;&gt;0,$A$9&lt;&gt;0,$F$24&lt;&gt;0,$F$25&lt;&gt;0,$F$26&lt;&gt;0,ISNUMBER(E15),IF(ISERROR(SEARCH(",?",E15)),0,1)=0)</formula1>
    </dataValidation>
  </dataValidations>
  <hyperlinks>
    <hyperlink ref="G7" location="профосмотры!G3" display="профосмотры!G3"/>
    <hyperlink ref="H7" location="профосмотры!H3" display="профосмотры!H3"/>
    <hyperlink ref="I7" location="профосмотры!I3" display="профосмотры!I3"/>
    <hyperlink ref="A9:I9" location="профосмотры!C5" display="профосмотры!C5"/>
    <hyperlink ref="F24:I24" location="профосмотры!E21" display="профосмотры!E21"/>
    <hyperlink ref="F25:I25" location="профосмотры!E22" display="профосмотры!E22"/>
    <hyperlink ref="F26:I26" location="профосмотры!E23" display="профосмотры!E23"/>
  </hyperlink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AB31"/>
  <sheetViews>
    <sheetView zoomScale="40" zoomScaleNormal="40" workbookViewId="0">
      <selection activeCell="O17" sqref="O17"/>
    </sheetView>
  </sheetViews>
  <sheetFormatPr defaultRowHeight="15.75" x14ac:dyDescent="0.25"/>
  <cols>
    <col min="1" max="1" width="46.42578125" style="13" customWidth="1"/>
    <col min="2" max="2" width="12.140625" style="13" customWidth="1"/>
    <col min="3" max="3" width="15.42578125" style="13" bestFit="1" customWidth="1"/>
    <col min="4" max="4" width="14.28515625" style="13" customWidth="1"/>
    <col min="5" max="5" width="12.28515625" style="13" customWidth="1"/>
    <col min="6" max="6" width="14.5703125" style="13" customWidth="1"/>
    <col min="7" max="7" width="12.42578125" style="13" customWidth="1"/>
    <col min="8" max="15" width="21.7109375" style="13" customWidth="1"/>
    <col min="16" max="17" width="17.7109375" style="13" customWidth="1"/>
    <col min="18" max="18" width="18.7109375" style="13" customWidth="1"/>
    <col min="19" max="19" width="19.28515625" style="13" customWidth="1"/>
    <col min="20" max="20" width="18.42578125" style="13" customWidth="1"/>
    <col min="21" max="21" width="19.42578125" style="13" customWidth="1"/>
    <col min="22" max="22" width="12.85546875" style="13" customWidth="1"/>
    <col min="23" max="23" width="85.140625" style="13" bestFit="1" customWidth="1"/>
    <col min="24" max="24" width="44.42578125" style="13" hidden="1" customWidth="1"/>
    <col min="25" max="28" width="9.140625" style="13" hidden="1" customWidth="1"/>
    <col min="29" max="16384" width="9.140625" style="13"/>
  </cols>
  <sheetData>
    <row r="1" spans="1:28" x14ac:dyDescent="0.25">
      <c r="A1" s="11" t="str">
        <f>IF(C1=TRUE,DATEVALUE(C3&amp;"."&amp;VLOOKUP(D3,Help!$H$1:$I$12,2,0)&amp;"."&amp;E3),"22.07.1966")</f>
        <v>22.07.1966</v>
      </c>
      <c r="B1" s="11" t="e">
        <f>C3&amp;"."&amp;VLOOKUP(D3,Help!$H$1:$I$12,2,0)&amp;"."&amp;E3</f>
        <v>#N/A</v>
      </c>
      <c r="C1" s="11" t="b">
        <f>AND(C3&lt;&gt;"",D3&lt;&gt;"",E3&lt;&gt;"")</f>
        <v>0</v>
      </c>
      <c r="D1" s="12"/>
      <c r="E1" s="12"/>
    </row>
    <row r="2" spans="1:28" ht="36.75" customHeight="1" x14ac:dyDescent="0.25">
      <c r="A2" s="188" t="s">
        <v>141</v>
      </c>
      <c r="B2" s="189"/>
      <c r="C2" s="189"/>
      <c r="D2" s="189"/>
      <c r="E2" s="189"/>
      <c r="F2" s="189"/>
      <c r="G2" s="189"/>
    </row>
    <row r="3" spans="1:28" s="3" customFormat="1" ht="18.75" x14ac:dyDescent="0.3">
      <c r="B3" s="1"/>
      <c r="C3" s="4"/>
      <c r="D3" s="170" t="s">
        <v>0</v>
      </c>
      <c r="E3" s="170"/>
      <c r="F3" s="110">
        <f>IF(профосмотры!$G$3&lt;&gt;"",профосмотры!$G$3,"")</f>
        <v>26</v>
      </c>
      <c r="G3" s="110" t="str">
        <f>IF(профосмотры!$H$3&lt;&gt;"",профосмотры!$H$3,"")</f>
        <v>сентября</v>
      </c>
      <c r="H3" s="110">
        <f>IF(профосмотры!$I$3&lt;&gt;"",профосмотры!$I$3,"")</f>
        <v>2024</v>
      </c>
      <c r="I3" s="79"/>
      <c r="J3" s="4"/>
      <c r="K3" s="2"/>
      <c r="L3" s="1"/>
      <c r="M3" s="1"/>
    </row>
    <row r="4" spans="1:28" s="65" customFormat="1" ht="24" thickBot="1" x14ac:dyDescent="0.4">
      <c r="B4" s="64"/>
      <c r="C4" s="64"/>
      <c r="D4" s="64"/>
      <c r="E4" s="64"/>
      <c r="F4" s="67" t="s">
        <v>1</v>
      </c>
      <c r="G4" s="67" t="s">
        <v>2</v>
      </c>
      <c r="H4" s="67" t="s">
        <v>3</v>
      </c>
      <c r="I4"/>
      <c r="J4"/>
      <c r="K4"/>
      <c r="L4"/>
      <c r="M4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8" s="12" customFormat="1" ht="24" customHeight="1" thickBot="1" x14ac:dyDescent="0.3">
      <c r="A5" s="220" t="str">
        <f>IF(профосмотры!$C$5&lt;&gt;"",профосмотры!$C$5,"")</f>
        <v>ГБУЗ «Нехаевская ЦРБ»</v>
      </c>
      <c r="B5" s="221"/>
      <c r="C5" s="221"/>
      <c r="D5" s="221"/>
      <c r="E5" s="221"/>
      <c r="F5"/>
      <c r="G5"/>
      <c r="H5"/>
      <c r="I5"/>
      <c r="J5"/>
      <c r="K5"/>
      <c r="L5"/>
      <c r="M5"/>
    </row>
    <row r="6" spans="1:28" s="12" customFormat="1" ht="27" customHeight="1" x14ac:dyDescent="0.25">
      <c r="A6" s="222" t="s">
        <v>98</v>
      </c>
      <c r="B6" s="222"/>
      <c r="C6" s="222"/>
      <c r="D6" s="222"/>
      <c r="E6" s="222"/>
      <c r="V6" s="14"/>
    </row>
    <row r="7" spans="1:28" ht="26.25" customHeight="1" x14ac:dyDescent="0.25">
      <c r="A7" s="224"/>
      <c r="B7" s="223" t="s">
        <v>142</v>
      </c>
      <c r="C7" s="223"/>
      <c r="D7" s="223"/>
      <c r="E7" s="218" t="s">
        <v>21</v>
      </c>
      <c r="F7" s="218"/>
      <c r="G7" s="218"/>
      <c r="H7" s="225" t="s">
        <v>143</v>
      </c>
      <c r="I7" s="225" t="s">
        <v>144</v>
      </c>
      <c r="J7" s="225" t="s">
        <v>145</v>
      </c>
      <c r="K7" s="227" t="s">
        <v>146</v>
      </c>
      <c r="L7" s="227"/>
      <c r="M7" s="227"/>
      <c r="N7" s="227"/>
      <c r="O7" s="227"/>
      <c r="P7" s="227"/>
      <c r="Q7" s="227"/>
      <c r="R7" s="227"/>
      <c r="S7" s="228" t="s">
        <v>147</v>
      </c>
      <c r="T7" s="225" t="s">
        <v>148</v>
      </c>
      <c r="U7" s="225" t="s">
        <v>149</v>
      </c>
      <c r="V7" s="226" t="s">
        <v>150</v>
      </c>
      <c r="W7" s="157" t="s">
        <v>14</v>
      </c>
    </row>
    <row r="8" spans="1:28" ht="112.5" customHeight="1" thickBot="1" x14ac:dyDescent="0.3">
      <c r="A8" s="224"/>
      <c r="B8" s="89" t="s">
        <v>20</v>
      </c>
      <c r="C8" s="87" t="s">
        <v>151</v>
      </c>
      <c r="D8" s="87" t="s">
        <v>152</v>
      </c>
      <c r="E8" s="89" t="s">
        <v>20</v>
      </c>
      <c r="F8" s="87" t="s">
        <v>151</v>
      </c>
      <c r="G8" s="87" t="s">
        <v>152</v>
      </c>
      <c r="H8" s="225"/>
      <c r="I8" s="225"/>
      <c r="J8" s="225"/>
      <c r="K8" s="85" t="s">
        <v>153</v>
      </c>
      <c r="L8" s="85" t="s">
        <v>154</v>
      </c>
      <c r="M8" s="77" t="s">
        <v>155</v>
      </c>
      <c r="N8" s="85" t="s">
        <v>156</v>
      </c>
      <c r="O8" s="85" t="s">
        <v>157</v>
      </c>
      <c r="P8" s="85" t="s">
        <v>158</v>
      </c>
      <c r="Q8" s="76" t="s">
        <v>159</v>
      </c>
      <c r="R8" s="85" t="s">
        <v>160</v>
      </c>
      <c r="S8" s="228"/>
      <c r="T8" s="225"/>
      <c r="U8" s="225"/>
      <c r="V8" s="226"/>
      <c r="W8" s="157"/>
    </row>
    <row r="9" spans="1:28" ht="15.75" customHeight="1" x14ac:dyDescent="0.25">
      <c r="A9" s="88"/>
      <c r="B9" s="74">
        <v>1</v>
      </c>
      <c r="C9" s="74">
        <v>2</v>
      </c>
      <c r="D9" s="74">
        <v>3</v>
      </c>
      <c r="E9" s="74">
        <v>4</v>
      </c>
      <c r="F9" s="74">
        <v>5</v>
      </c>
      <c r="G9" s="74">
        <v>6</v>
      </c>
      <c r="H9" s="74">
        <v>7</v>
      </c>
      <c r="I9" s="74">
        <v>8</v>
      </c>
      <c r="J9" s="70">
        <v>9</v>
      </c>
      <c r="K9" s="70">
        <v>10</v>
      </c>
      <c r="L9" s="70">
        <v>11</v>
      </c>
      <c r="M9" s="70">
        <v>12</v>
      </c>
      <c r="N9" s="70">
        <v>13</v>
      </c>
      <c r="O9" s="70">
        <v>14</v>
      </c>
      <c r="P9" s="70">
        <v>15</v>
      </c>
      <c r="Q9" s="70">
        <v>16</v>
      </c>
      <c r="R9" s="70">
        <v>17</v>
      </c>
      <c r="S9" s="70">
        <v>18</v>
      </c>
      <c r="T9" s="70">
        <v>19</v>
      </c>
      <c r="U9" s="70">
        <v>20</v>
      </c>
      <c r="V9" s="70">
        <v>21</v>
      </c>
      <c r="W9" s="157"/>
    </row>
    <row r="10" spans="1:28" ht="59.25" customHeight="1" x14ac:dyDescent="0.25">
      <c r="A10" s="71" t="s">
        <v>161</v>
      </c>
      <c r="B10" s="75">
        <f>профосмотры!H12</f>
        <v>1297</v>
      </c>
      <c r="C10" s="86"/>
      <c r="D10" s="86"/>
      <c r="E10" s="75">
        <f>профосмотры!I12</f>
        <v>1297</v>
      </c>
      <c r="F10" s="86"/>
      <c r="G10" s="86"/>
      <c r="H10" s="86"/>
      <c r="I10" s="86"/>
      <c r="J10" s="86">
        <v>7</v>
      </c>
      <c r="K10" s="86"/>
      <c r="L10" s="86"/>
      <c r="M10" s="86"/>
      <c r="N10" s="86"/>
      <c r="O10" s="86"/>
      <c r="P10" s="86">
        <v>7</v>
      </c>
      <c r="Q10" s="86"/>
      <c r="R10" s="86"/>
      <c r="S10" s="86"/>
      <c r="T10" s="86">
        <v>6</v>
      </c>
      <c r="U10" s="86">
        <v>6</v>
      </c>
      <c r="V10" s="86">
        <v>6</v>
      </c>
      <c r="W10" s="16" t="str">
        <f>IF(Z10&gt;0,"гр.2 &gt;= гр.1 по строке «"&amp;Y10&amp;"»","ОК")</f>
        <v>ОК</v>
      </c>
      <c r="X10" s="72" t="s">
        <v>162</v>
      </c>
      <c r="Y10" s="17" t="str">
        <f>IF(Z10&gt;0,INDEX($A$10:$A$11,Z10,1),CHAR(151))</f>
        <v>—</v>
      </c>
      <c r="Z10" s="18">
        <f>IF(ISERROR(MATCH(FALSE,AA10:AB10,0)),0,MATCH(FALSE,AA10:AB10,0))</f>
        <v>0</v>
      </c>
      <c r="AA10" s="18" t="b">
        <f>IF(OR($C10&lt;&gt;"",$B10&lt;&gt;0),$C10&lt;$B10,TRUE)</f>
        <v>1</v>
      </c>
      <c r="AB10" s="18" t="b">
        <f>IF(OR($C11&lt;&gt;"",$B11&lt;&gt;0),$C11&lt;$B11,TRUE)</f>
        <v>1</v>
      </c>
    </row>
    <row r="11" spans="1:28" ht="59.25" customHeight="1" x14ac:dyDescent="0.25">
      <c r="A11" s="71" t="s">
        <v>163</v>
      </c>
      <c r="B11" s="75">
        <f>профосмотры!H14</f>
        <v>365</v>
      </c>
      <c r="C11" s="86"/>
      <c r="D11" s="86"/>
      <c r="E11" s="75">
        <f>профосмотры!I14</f>
        <v>365</v>
      </c>
      <c r="F11" s="86"/>
      <c r="G11" s="86"/>
      <c r="H11" s="130">
        <f>'15-17 лет'!G15</f>
        <v>187</v>
      </c>
      <c r="I11" s="75">
        <f>'15-17 лет'!G21</f>
        <v>178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16" t="str">
        <f>IF(Z11&gt;0,"гр.3 &gt;= гр.1 по строке «"&amp;Y11&amp;"»","ОК")</f>
        <v>ОК</v>
      </c>
      <c r="X11" s="72" t="s">
        <v>164</v>
      </c>
      <c r="Y11" s="17" t="str">
        <f t="shared" ref="Y11:Y30" si="0">IF(Z11&gt;0,INDEX($A$10:$A$11,Z11,1),CHAR(151))</f>
        <v>—</v>
      </c>
      <c r="Z11" s="18">
        <f t="shared" ref="Z11:Z27" si="1">IF(ISERROR(MATCH(FALSE,AA11:AB11,0)),0,MATCH(FALSE,AA11:AB11,0))</f>
        <v>0</v>
      </c>
      <c r="AA11" s="18" t="b">
        <f>IF(OR($D10&lt;&gt;"",$B10&lt;&gt;0),$D10&lt;$B10,TRUE)</f>
        <v>1</v>
      </c>
      <c r="AB11" s="18" t="b">
        <f>IF(OR($D11&lt;&gt;"",$B11&lt;&gt;0),$D11&lt;$B11,TRUE)</f>
        <v>1</v>
      </c>
    </row>
    <row r="12" spans="1:28" ht="18.75" x14ac:dyDescent="0.25">
      <c r="W12" s="16" t="str">
        <f>IF(Z12&gt;0,"гр.4 &gt;= гр.1 по строке «"&amp;Y12&amp;"»","ОК")</f>
        <v>ОК</v>
      </c>
      <c r="X12" s="72" t="s">
        <v>165</v>
      </c>
      <c r="Y12" s="17" t="str">
        <f t="shared" si="0"/>
        <v>—</v>
      </c>
      <c r="Z12" s="18">
        <f t="shared" si="1"/>
        <v>0</v>
      </c>
      <c r="AA12" s="18" t="b">
        <f>IF(OR($E10&lt;&gt;"",$B10&lt;&gt;""),$E10&lt;=$B10,TRUE)</f>
        <v>1</v>
      </c>
      <c r="AB12" s="18" t="b">
        <f>IF(OR($E11&lt;&gt;"",$B11&lt;&gt;""),$E11&lt;=$B11,TRUE)</f>
        <v>1</v>
      </c>
    </row>
    <row r="13" spans="1:28" s="12" customFormat="1" ht="29.25" customHeight="1" x14ac:dyDescent="0.25">
      <c r="H13"/>
      <c r="S13" s="229" t="s">
        <v>166</v>
      </c>
      <c r="T13" s="229"/>
      <c r="W13" s="16" t="str">
        <f>IF(Z13&gt;0,"гр.5 &gt;= гр.4 по строке «"&amp;Y13&amp;"»","ОК")</f>
        <v>ОК</v>
      </c>
      <c r="X13" s="72" t="s">
        <v>167</v>
      </c>
      <c r="Y13" s="17" t="str">
        <f t="shared" si="0"/>
        <v>—</v>
      </c>
      <c r="Z13" s="18">
        <f t="shared" si="1"/>
        <v>0</v>
      </c>
      <c r="AA13" s="18" t="b">
        <f>IF(OR($F10&lt;&gt;"",$E10&lt;&gt;0),$F10&lt;$E10,TRUE)</f>
        <v>1</v>
      </c>
      <c r="AB13" s="18" t="b">
        <f>IF(OR($F11&lt;&gt;"",$E11&lt;&gt;0),$F11&lt;$E11,TRUE)</f>
        <v>1</v>
      </c>
    </row>
    <row r="14" spans="1:28" s="12" customFormat="1" ht="18.75" x14ac:dyDescent="0.25">
      <c r="H14"/>
      <c r="S14" s="230" t="s">
        <v>168</v>
      </c>
      <c r="T14" s="230"/>
      <c r="W14" s="16" t="str">
        <f>IF(Z14&gt;0,"гр.6 &gt;= гр.4 по строке «"&amp;Y14&amp;"»","ОК")</f>
        <v>ОК</v>
      </c>
      <c r="X14" s="72" t="s">
        <v>169</v>
      </c>
      <c r="Y14" s="17" t="str">
        <f t="shared" si="0"/>
        <v>—</v>
      </c>
      <c r="Z14" s="18">
        <f t="shared" si="1"/>
        <v>0</v>
      </c>
      <c r="AA14" s="18" t="b">
        <f>IF(OR($G10&lt;&gt;"",$E10&lt;&gt;0),$G10&lt;$E10,TRUE)</f>
        <v>1</v>
      </c>
      <c r="AB14" s="18" t="b">
        <f>IF(OR($G11&lt;&gt;"",$E11&lt;&gt;0),$G11&lt;$E11,TRUE)</f>
        <v>1</v>
      </c>
    </row>
    <row r="15" spans="1:28" s="12" customFormat="1" ht="19.5" thickBot="1" x14ac:dyDescent="0.3">
      <c r="H15"/>
      <c r="S15" s="230" t="s">
        <v>170</v>
      </c>
      <c r="T15" s="230"/>
      <c r="W15" s="16" t="str">
        <f>IF(Z15&gt;0,"гр.7 &gt; гр.1 по строке «"&amp;Y15&amp;"»","ОК")</f>
        <v>ОК</v>
      </c>
      <c r="X15" s="72" t="s">
        <v>171</v>
      </c>
      <c r="Y15" s="17" t="str">
        <f t="shared" si="0"/>
        <v>—</v>
      </c>
      <c r="Z15" s="18">
        <f t="shared" si="1"/>
        <v>0</v>
      </c>
      <c r="AA15" s="18" t="b">
        <f>$H10&lt;=$B10</f>
        <v>1</v>
      </c>
      <c r="AB15" s="18" t="b">
        <f>$H11&lt;=$B11</f>
        <v>1</v>
      </c>
    </row>
    <row r="16" spans="1:28" ht="18.75" x14ac:dyDescent="0.25">
      <c r="A16" s="196" t="s">
        <v>59</v>
      </c>
      <c r="B16" s="219"/>
      <c r="C16" s="198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D16" s="199"/>
      <c r="E16" s="200"/>
      <c r="F16" s="201"/>
      <c r="H16"/>
      <c r="S16" s="230" t="s">
        <v>172</v>
      </c>
      <c r="T16" s="230"/>
      <c r="W16" s="16" t="str">
        <f>IF(Z16&gt;0,"гр.8 &gt; гр.1 по строке «"&amp;Y16&amp;"»","ОК")</f>
        <v>ОК</v>
      </c>
      <c r="X16" s="72" t="s">
        <v>173</v>
      </c>
      <c r="Y16" s="17" t="str">
        <f t="shared" si="0"/>
        <v>—</v>
      </c>
      <c r="Z16" s="18">
        <f t="shared" si="1"/>
        <v>0</v>
      </c>
      <c r="AA16" s="18" t="b">
        <f>$I10&lt;=$B10</f>
        <v>1</v>
      </c>
      <c r="AB16" s="18" t="b">
        <f>$I11&lt;=$B11</f>
        <v>1</v>
      </c>
    </row>
    <row r="17" spans="1:28" ht="18.75" x14ac:dyDescent="0.25">
      <c r="A17" s="190" t="s">
        <v>61</v>
      </c>
      <c r="B17" s="191"/>
      <c r="C17" s="192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D17" s="193"/>
      <c r="E17" s="194"/>
      <c r="F17" s="195"/>
      <c r="H17"/>
      <c r="S17" s="230" t="s">
        <v>174</v>
      </c>
      <c r="T17" s="230"/>
      <c r="W17" s="16" t="str">
        <f>IF(Z17&gt;0,"гр.7 + гр.8 &gt; гр.1 по строке «"&amp;Y17&amp;"»","ОК")</f>
        <v>ОК</v>
      </c>
      <c r="X17" s="72" t="s">
        <v>175</v>
      </c>
      <c r="Y17" s="17" t="str">
        <f t="shared" si="0"/>
        <v>—</v>
      </c>
      <c r="Z17" s="18">
        <f t="shared" si="1"/>
        <v>0</v>
      </c>
      <c r="AA17" s="18" t="b">
        <f>SUM($H10:$I10)&lt;=$B10</f>
        <v>1</v>
      </c>
      <c r="AB17" s="18" t="b">
        <f>SUM($H11:$I11)&lt;=$B11</f>
        <v>1</v>
      </c>
    </row>
    <row r="18" spans="1:28" ht="19.5" thickBot="1" x14ac:dyDescent="0.3">
      <c r="A18" s="212" t="s">
        <v>63</v>
      </c>
      <c r="B18" s="213"/>
      <c r="C18" s="214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D18" s="215"/>
      <c r="E18" s="216"/>
      <c r="F18" s="217"/>
      <c r="G18"/>
      <c r="H18"/>
      <c r="I18"/>
      <c r="J18"/>
      <c r="K18"/>
      <c r="L18"/>
      <c r="M18"/>
      <c r="N18"/>
      <c r="O18"/>
      <c r="P18"/>
      <c r="Q18"/>
      <c r="R18"/>
      <c r="S18" s="230" t="s">
        <v>176</v>
      </c>
      <c r="T18" s="230"/>
      <c r="U18"/>
      <c r="V18"/>
      <c r="W18" s="16" t="str">
        <f>IF(Z18&gt;0,"гр.9 &gt; гр.1 по строке «"&amp;Y18&amp;"»","ОК")</f>
        <v>ОК</v>
      </c>
      <c r="X18" s="72" t="s">
        <v>177</v>
      </c>
      <c r="Y18" s="17" t="str">
        <f t="shared" si="0"/>
        <v>—</v>
      </c>
      <c r="Z18" s="18">
        <f t="shared" si="1"/>
        <v>0</v>
      </c>
      <c r="AA18" s="18" t="b">
        <f>$J10&lt;=$B10</f>
        <v>1</v>
      </c>
      <c r="AB18" s="18" t="b">
        <f>$J11&lt;=$B11</f>
        <v>1</v>
      </c>
    </row>
    <row r="19" spans="1:28" ht="18.75" x14ac:dyDescent="0.25">
      <c r="H19"/>
      <c r="S19" s="230" t="s">
        <v>178</v>
      </c>
      <c r="T19" s="230"/>
      <c r="W19" s="16" t="str">
        <f>IF(Z19&gt;0,"гр.10 &gt; гр.9 по строке «"&amp;Y19&amp;"»","ОК")</f>
        <v>ОК</v>
      </c>
      <c r="X19" s="72" t="s">
        <v>179</v>
      </c>
      <c r="Y19" s="17" t="str">
        <f t="shared" si="0"/>
        <v>—</v>
      </c>
      <c r="Z19" s="18">
        <f t="shared" si="1"/>
        <v>0</v>
      </c>
      <c r="AA19" s="18" t="b">
        <f>$K10&lt;=$J10</f>
        <v>1</v>
      </c>
      <c r="AB19" s="18" t="b">
        <f>$K11&lt;=$J11</f>
        <v>1</v>
      </c>
    </row>
    <row r="20" spans="1:28" ht="18.75" x14ac:dyDescent="0.25">
      <c r="H20"/>
      <c r="S20" s="230" t="s">
        <v>180</v>
      </c>
      <c r="T20" s="230"/>
      <c r="W20" s="16" t="str">
        <f>IF(Z20&gt;0,"гр.11 &gt; гр.9 по строке «"&amp;Y20&amp;"»","ОК")</f>
        <v>ОК</v>
      </c>
      <c r="X20" s="72" t="s">
        <v>181</v>
      </c>
      <c r="Y20" s="17" t="str">
        <f t="shared" si="0"/>
        <v>—</v>
      </c>
      <c r="Z20" s="18">
        <f t="shared" si="1"/>
        <v>0</v>
      </c>
      <c r="AA20" s="18" t="b">
        <f>$L10&lt;=$J10</f>
        <v>1</v>
      </c>
      <c r="AB20" s="18" t="b">
        <f>$L11&lt;=$J11</f>
        <v>1</v>
      </c>
    </row>
    <row r="21" spans="1:28" ht="35.25" customHeight="1" x14ac:dyDescent="0.25">
      <c r="H21"/>
      <c r="S21" s="230" t="s">
        <v>182</v>
      </c>
      <c r="T21" s="230"/>
      <c r="W21" s="16" t="str">
        <f>IF(Z21&gt;0,"гр.12 &gt; гр.11 по строке «"&amp;Y21&amp;"»","ОК")</f>
        <v>ОК</v>
      </c>
      <c r="X21" s="72" t="s">
        <v>183</v>
      </c>
      <c r="Y21" s="17" t="str">
        <f t="shared" si="0"/>
        <v>—</v>
      </c>
      <c r="Z21" s="18">
        <f t="shared" si="1"/>
        <v>0</v>
      </c>
      <c r="AA21" s="18" t="b">
        <f>$M10&lt;=$L10</f>
        <v>1</v>
      </c>
      <c r="AB21" s="18" t="b">
        <f>$M11&lt;=$L11</f>
        <v>1</v>
      </c>
    </row>
    <row r="22" spans="1:28" ht="51.75" customHeight="1" x14ac:dyDescent="0.25">
      <c r="H22"/>
      <c r="S22" s="230" t="s">
        <v>184</v>
      </c>
      <c r="T22" s="230"/>
      <c r="W22" s="16" t="str">
        <f>IF(Z22&gt;0,"гр.13 &gt; гр.9 по строке «"&amp;Y22&amp;"»","ОК")</f>
        <v>ОК</v>
      </c>
      <c r="X22" s="72" t="s">
        <v>185</v>
      </c>
      <c r="Y22" s="17" t="str">
        <f t="shared" si="0"/>
        <v>—</v>
      </c>
      <c r="Z22" s="18">
        <f t="shared" si="1"/>
        <v>0</v>
      </c>
      <c r="AA22" s="18" t="b">
        <f>$N10&lt;=$J10</f>
        <v>1</v>
      </c>
      <c r="AB22" s="18" t="b">
        <f>$N11&lt;=$J11</f>
        <v>1</v>
      </c>
    </row>
    <row r="23" spans="1:28" ht="18.75" x14ac:dyDescent="0.25">
      <c r="H23"/>
      <c r="W23" s="16" t="str">
        <f>IF(Z23&gt;0,"гр.14 &gt; гр.9 по строке «"&amp;Y23&amp;"»","ОК")</f>
        <v>ОК</v>
      </c>
      <c r="X23" s="72" t="s">
        <v>186</v>
      </c>
      <c r="Y23" s="17" t="str">
        <f t="shared" si="0"/>
        <v>—</v>
      </c>
      <c r="Z23" s="18">
        <f t="shared" si="1"/>
        <v>0</v>
      </c>
      <c r="AA23" s="18" t="b">
        <f>$O10&lt;=$J10</f>
        <v>1</v>
      </c>
      <c r="AB23" s="18" t="b">
        <f>$O11&lt;=$J11</f>
        <v>1</v>
      </c>
    </row>
    <row r="24" spans="1:28" ht="18.75" x14ac:dyDescent="0.25">
      <c r="H24"/>
      <c r="W24" s="16" t="str">
        <f>IF(Z24&gt;0,"гр.15 &gt; гр.9 по строке «"&amp;Y24&amp;"»","ОК")</f>
        <v>ОК</v>
      </c>
      <c r="X24" s="72" t="s">
        <v>187</v>
      </c>
      <c r="Y24" s="17" t="str">
        <f t="shared" si="0"/>
        <v>—</v>
      </c>
      <c r="Z24" s="18">
        <f t="shared" si="1"/>
        <v>0</v>
      </c>
      <c r="AA24" s="18" t="b">
        <f>$P10&lt;=$J10</f>
        <v>1</v>
      </c>
      <c r="AB24" s="18" t="b">
        <f>$P11&lt;=$J11</f>
        <v>1</v>
      </c>
    </row>
    <row r="25" spans="1:28" ht="18.75" x14ac:dyDescent="0.25">
      <c r="H25"/>
      <c r="W25" s="16" t="str">
        <f>IF(Z25&gt;0,"гр.16 &gt; гр.1 по строке «"&amp;Y25&amp;"»","ОК")</f>
        <v>ОК</v>
      </c>
      <c r="X25" s="72" t="s">
        <v>188</v>
      </c>
      <c r="Y25" s="17" t="str">
        <f t="shared" si="0"/>
        <v>—</v>
      </c>
      <c r="Z25" s="18">
        <f t="shared" si="1"/>
        <v>0</v>
      </c>
      <c r="AA25" s="18" t="b">
        <f>$Q10&lt;=$B10</f>
        <v>1</v>
      </c>
      <c r="AB25" s="18" t="b">
        <f>$Q11&lt;=$B11</f>
        <v>1</v>
      </c>
    </row>
    <row r="26" spans="1:28" ht="18.75" x14ac:dyDescent="0.25">
      <c r="H26"/>
      <c r="W26" s="16" t="str">
        <f>IF(Z26&gt;0,"гр.17 &gt; гр.9 по строке «"&amp;Y26&amp;"»","ОК")</f>
        <v>ОК</v>
      </c>
      <c r="X26" s="72" t="s">
        <v>189</v>
      </c>
      <c r="Y26" s="17" t="str">
        <f t="shared" si="0"/>
        <v>—</v>
      </c>
      <c r="Z26" s="18">
        <f t="shared" si="1"/>
        <v>0</v>
      </c>
      <c r="AA26" s="18" t="b">
        <f>$R10&lt;=$J10</f>
        <v>1</v>
      </c>
      <c r="AB26" s="18" t="b">
        <f>$R11&lt;=$J11</f>
        <v>1</v>
      </c>
    </row>
    <row r="27" spans="1:28" ht="18.75" x14ac:dyDescent="0.25">
      <c r="H27"/>
      <c r="W27" s="16" t="str">
        <f>IF(Z27&gt;0,"гр.18 &gt; гр.1 по строке «"&amp;Y27&amp;"»","ОК")</f>
        <v>ОК</v>
      </c>
      <c r="X27" s="72" t="s">
        <v>190</v>
      </c>
      <c r="Y27" s="17" t="str">
        <f t="shared" si="0"/>
        <v>—</v>
      </c>
      <c r="Z27" s="18">
        <f t="shared" si="1"/>
        <v>0</v>
      </c>
      <c r="AA27" s="18" t="b">
        <f>$S10&lt;=$B10</f>
        <v>1</v>
      </c>
      <c r="AB27" s="18" t="b">
        <f>$S11&lt;=$B11</f>
        <v>1</v>
      </c>
    </row>
    <row r="28" spans="1:28" ht="18.75" x14ac:dyDescent="0.25">
      <c r="H28"/>
      <c r="W28" s="16" t="str">
        <f>IF(Z28&gt;0,"гр.19 &gt; гр.9 по строке «"&amp;Y28&amp;"»","ОК")</f>
        <v>ОК</v>
      </c>
      <c r="X28" s="72" t="s">
        <v>191</v>
      </c>
      <c r="Y28" s="17" t="str">
        <f t="shared" si="0"/>
        <v>—</v>
      </c>
      <c r="Z28" s="18">
        <f t="shared" ref="Z28:Z30" si="2">IF(ISERROR(MATCH(FALSE,AA28:AB28,0)),0,MATCH(FALSE,AA28:AB28,0))</f>
        <v>0</v>
      </c>
      <c r="AA28" s="18" t="b">
        <f>$T10&lt;=$J10</f>
        <v>1</v>
      </c>
      <c r="AB28" s="18" t="b">
        <f>$T11&lt;=$J11</f>
        <v>1</v>
      </c>
    </row>
    <row r="29" spans="1:28" ht="18.75" x14ac:dyDescent="0.25">
      <c r="H29"/>
      <c r="W29" s="16" t="str">
        <f>IF(Z29&gt;0,"гр.20 &gt; гр.9 по строке «"&amp;Y29&amp;"»","ОК")</f>
        <v>ОК</v>
      </c>
      <c r="X29" s="72" t="s">
        <v>192</v>
      </c>
      <c r="Y29" s="17" t="str">
        <f t="shared" si="0"/>
        <v>—</v>
      </c>
      <c r="Z29" s="18">
        <f t="shared" si="2"/>
        <v>0</v>
      </c>
      <c r="AA29" s="18" t="b">
        <f>$U10&lt;=$J10</f>
        <v>1</v>
      </c>
      <c r="AB29" s="18" t="b">
        <f>$U11&lt;=$J11</f>
        <v>1</v>
      </c>
    </row>
    <row r="30" spans="1:28" ht="18.75" x14ac:dyDescent="0.25">
      <c r="H30"/>
      <c r="W30" s="16" t="str">
        <f>IF(Z30&gt;0,"гр.21 &gt; гр.20 по строке «"&amp;Y30&amp;"»","ОК")</f>
        <v>ОК</v>
      </c>
      <c r="X30" s="72" t="s">
        <v>193</v>
      </c>
      <c r="Y30" s="17" t="str">
        <f t="shared" si="0"/>
        <v>—</v>
      </c>
      <c r="Z30" s="18">
        <f t="shared" si="2"/>
        <v>0</v>
      </c>
      <c r="AA30" s="18" t="b">
        <f>$V10&lt;=$U10</f>
        <v>1</v>
      </c>
      <c r="AB30" s="18" t="b">
        <f>$V11&lt;=$U11</f>
        <v>1</v>
      </c>
    </row>
    <row r="31" spans="1:28" x14ac:dyDescent="0.25">
      <c r="H31"/>
    </row>
  </sheetData>
  <sheetProtection password="DB70" sheet="1" objects="1" scenarios="1" autoFilter="0"/>
  <mergeCells count="32">
    <mergeCell ref="S21:T21"/>
    <mergeCell ref="S22:T22"/>
    <mergeCell ref="S14:T14"/>
    <mergeCell ref="S15:T15"/>
    <mergeCell ref="S16:T16"/>
    <mergeCell ref="S17:T17"/>
    <mergeCell ref="S18:T18"/>
    <mergeCell ref="S13:T13"/>
    <mergeCell ref="H7:H8"/>
    <mergeCell ref="C17:F17"/>
    <mergeCell ref="S19:T19"/>
    <mergeCell ref="S20:T20"/>
    <mergeCell ref="C18:F18"/>
    <mergeCell ref="W7:W9"/>
    <mergeCell ref="T7:T8"/>
    <mergeCell ref="U7:U8"/>
    <mergeCell ref="V7:V8"/>
    <mergeCell ref="I7:I8"/>
    <mergeCell ref="J7:J8"/>
    <mergeCell ref="K7:R7"/>
    <mergeCell ref="S7:S8"/>
    <mergeCell ref="A17:B17"/>
    <mergeCell ref="A18:B18"/>
    <mergeCell ref="E7:G7"/>
    <mergeCell ref="A2:G2"/>
    <mergeCell ref="A16:B16"/>
    <mergeCell ref="A5:E5"/>
    <mergeCell ref="A6:E6"/>
    <mergeCell ref="B7:D7"/>
    <mergeCell ref="A7:A8"/>
    <mergeCell ref="D3:E3"/>
    <mergeCell ref="C16:F16"/>
  </mergeCells>
  <conditionalFormatting sqref="W10:W30">
    <cfRule type="expression" dxfId="8" priority="1" stopIfTrue="1">
      <formula>W10&lt;&gt;"ОК"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H10:I10 C10:D11 F10:G11 J10:V11">
      <formula1>AND($A$5&lt;&gt;0,$F$3&lt;&gt;0,$G$3&lt;&gt;0,$H$3&lt;&gt;0,$C$16&lt;&gt;0,$C$17&lt;&gt;0,$C$18&lt;&gt;0,ISNUMBER(C10),IF(ISERROR(SEARCH(",?",C10)),0,1)=0)</formula1>
    </dataValidation>
  </dataValidations>
  <hyperlinks>
    <hyperlink ref="F3" location="профосмотры!G3" display="профосмотры!G3"/>
    <hyperlink ref="G3" location="профосмотры!H3" display="профосмотры!H3"/>
    <hyperlink ref="H3" location="профосмотры!I3" display="профосмотры!I3"/>
    <hyperlink ref="A5:E5" location="профосмотры!C5" display="профосмотры!C5"/>
    <hyperlink ref="C16:F16" location="профосмотры!E21" display="профосмотры!E21"/>
    <hyperlink ref="C17:F17" location="профосмотры!E22" display="профосмотры!E22"/>
    <hyperlink ref="C18:F18" location="профосмотры!E23" display="профосмотры!E23"/>
  </hyperlink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7030A0"/>
    <pageSetUpPr fitToPage="1"/>
  </sheetPr>
  <dimension ref="A1:Y49"/>
  <sheetViews>
    <sheetView zoomScale="70" zoomScaleNormal="70" workbookViewId="0">
      <selection activeCell="AA25" sqref="AA25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5.7109375" customWidth="1"/>
    <col min="5" max="5" width="14.140625" customWidth="1"/>
    <col min="6" max="6" width="14" customWidth="1"/>
    <col min="7" max="7" width="13.5703125" customWidth="1"/>
    <col min="8" max="8" width="16.140625" customWidth="1"/>
    <col min="9" max="9" width="15.5703125" customWidth="1"/>
    <col min="10" max="10" width="16" customWidth="1"/>
    <col min="11" max="11" width="9.140625" customWidth="1"/>
    <col min="12" max="12" width="13.7109375" customWidth="1"/>
    <col min="13" max="13" width="15.7109375" customWidth="1"/>
    <col min="14" max="14" width="41.28515625" customWidth="1"/>
    <col min="15" max="15" width="26.28515625" hidden="1" customWidth="1"/>
    <col min="16" max="22" width="9.140625" hidden="1" customWidth="1"/>
  </cols>
  <sheetData>
    <row r="1" spans="1:25" s="3" customFormat="1" ht="45" customHeight="1" x14ac:dyDescent="0.3">
      <c r="A1" s="5" t="str">
        <f>IF(B1=TRUE,DATEVALUE(G2&amp;"."&amp;VLOOKUP(H2,Help!$H$1:$I$12,2,0)&amp;"."&amp;J2),"22.07.1966")</f>
        <v>22.07.1966</v>
      </c>
      <c r="B1" s="5" t="b">
        <f>AND(G2&lt;&gt;"",H2&lt;&gt;"",J2&lt;&gt;"")</f>
        <v>0</v>
      </c>
      <c r="C1" s="1"/>
      <c r="D1" s="167" t="s">
        <v>194</v>
      </c>
      <c r="E1" s="167"/>
      <c r="F1" s="167"/>
      <c r="G1" s="167"/>
      <c r="H1" s="167"/>
      <c r="I1" s="167"/>
      <c r="J1" s="167"/>
      <c r="K1" s="167"/>
      <c r="L1" s="2"/>
      <c r="M1" s="1"/>
    </row>
    <row r="2" spans="1:25" s="3" customFormat="1" ht="18.75" x14ac:dyDescent="0.3">
      <c r="B2" s="1"/>
      <c r="C2" s="1"/>
      <c r="D2" s="4"/>
      <c r="E2" s="170" t="s">
        <v>0</v>
      </c>
      <c r="F2" s="170"/>
      <c r="G2" s="137">
        <f>IF(профосмотры!$G$3&lt;&gt;"",профосмотры!$G$3,"")</f>
        <v>26</v>
      </c>
      <c r="H2" s="137" t="str">
        <f>IF(профосмотры!$H$3&lt;&gt;"",профосмотры!$H$3,"")</f>
        <v>сентября</v>
      </c>
      <c r="I2" s="137">
        <f>IF(профосмотры!$I$3&lt;&gt;"",профосмотры!$I$3,"")</f>
        <v>2024</v>
      </c>
      <c r="J2" s="79"/>
      <c r="K2" s="4"/>
      <c r="L2" s="2"/>
      <c r="M2" s="1"/>
    </row>
    <row r="3" spans="1:25" s="65" customFormat="1" ht="24" thickBot="1" x14ac:dyDescent="0.4">
      <c r="B3" s="64"/>
      <c r="C3" s="64"/>
      <c r="D3" s="64"/>
      <c r="E3" s="64"/>
      <c r="F3" s="64"/>
      <c r="G3" s="67" t="s">
        <v>1</v>
      </c>
      <c r="H3" s="67" t="s">
        <v>2</v>
      </c>
      <c r="I3" s="67" t="s">
        <v>3</v>
      </c>
      <c r="J3" s="64"/>
      <c r="K3" s="64"/>
      <c r="L3" s="64"/>
      <c r="M3" s="64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s="3" customFormat="1" ht="15.75" thickBot="1" x14ac:dyDescent="0.3">
      <c r="B4" s="220" t="str">
        <f>IF(профосмотры!$C$5&lt;&gt;"",профосмотры!$C$5,"")</f>
        <v>ГБУЗ «Нехаевская ЦРБ»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32"/>
    </row>
    <row r="5" spans="1:25" s="3" customFormat="1" ht="15.75" x14ac:dyDescent="0.25">
      <c r="G5" s="231" t="s">
        <v>4</v>
      </c>
      <c r="H5" s="231"/>
      <c r="I5" s="231"/>
    </row>
    <row r="6" spans="1:25" ht="90" x14ac:dyDescent="0.25">
      <c r="A6" s="53" t="s">
        <v>195</v>
      </c>
      <c r="B6" s="139" t="s">
        <v>66</v>
      </c>
      <c r="C6" s="138" t="s">
        <v>67</v>
      </c>
      <c r="D6" s="138" t="s">
        <v>135</v>
      </c>
      <c r="E6" s="138" t="s">
        <v>69</v>
      </c>
      <c r="F6" s="138" t="s">
        <v>135</v>
      </c>
      <c r="G6" s="138" t="s">
        <v>196</v>
      </c>
      <c r="H6" s="138" t="s">
        <v>197</v>
      </c>
      <c r="I6" s="138" t="s">
        <v>198</v>
      </c>
      <c r="J6" s="138" t="s">
        <v>31</v>
      </c>
      <c r="K6" s="138" t="s">
        <v>32</v>
      </c>
      <c r="L6" s="138" t="s">
        <v>199</v>
      </c>
      <c r="M6" s="138" t="s">
        <v>200</v>
      </c>
    </row>
    <row r="7" spans="1:25" ht="28.5" x14ac:dyDescent="0.25">
      <c r="A7" s="57">
        <v>1</v>
      </c>
      <c r="B7" s="56" t="s">
        <v>319</v>
      </c>
      <c r="C7" s="58" t="s">
        <v>77</v>
      </c>
      <c r="D7" s="57" t="s">
        <v>78</v>
      </c>
      <c r="E7" s="57" t="s">
        <v>79</v>
      </c>
      <c r="F7" s="57" t="s">
        <v>80</v>
      </c>
      <c r="G7" s="57" t="s">
        <v>81</v>
      </c>
      <c r="H7" s="57" t="s">
        <v>82</v>
      </c>
      <c r="I7" s="57" t="s">
        <v>83</v>
      </c>
      <c r="J7" s="57" t="s">
        <v>84</v>
      </c>
      <c r="K7" s="57" t="s">
        <v>85</v>
      </c>
      <c r="L7" s="57" t="s">
        <v>86</v>
      </c>
      <c r="M7" s="57" t="s">
        <v>87</v>
      </c>
      <c r="N7" s="233" t="s">
        <v>14</v>
      </c>
    </row>
    <row r="8" spans="1:25" ht="15" customHeight="1" x14ac:dyDescent="0.25">
      <c r="A8" s="24" t="s">
        <v>202</v>
      </c>
      <c r="B8" s="24" t="s">
        <v>203</v>
      </c>
      <c r="C8" s="86"/>
      <c r="D8" s="86"/>
      <c r="E8" s="43">
        <f>G8+H8+I8+L8+M8</f>
        <v>0</v>
      </c>
      <c r="F8" s="86"/>
      <c r="G8" s="86"/>
      <c r="H8" s="86"/>
      <c r="I8" s="86"/>
      <c r="J8" s="129" t="s">
        <v>46</v>
      </c>
      <c r="K8" s="129" t="s">
        <v>46</v>
      </c>
      <c r="L8" s="86"/>
      <c r="M8" s="86"/>
      <c r="N8" s="233"/>
    </row>
    <row r="9" spans="1:25" ht="18.75" x14ac:dyDescent="0.25">
      <c r="A9" s="24" t="s">
        <v>205</v>
      </c>
      <c r="B9" s="24" t="s">
        <v>45</v>
      </c>
      <c r="C9" s="86"/>
      <c r="D9" s="86"/>
      <c r="E9" s="43">
        <f>G9+H9+I9+L9+M9</f>
        <v>0</v>
      </c>
      <c r="F9" s="86"/>
      <c r="G9" s="86"/>
      <c r="H9" s="86"/>
      <c r="I9" s="86"/>
      <c r="J9" s="129" t="s">
        <v>46</v>
      </c>
      <c r="K9" s="129" t="s">
        <v>46</v>
      </c>
      <c r="L9" s="86"/>
      <c r="M9" s="86"/>
      <c r="N9" s="16" t="str">
        <f>IF(Q9&gt;0,"гр.6 &gt; гр.5 по строке «"&amp;P9&amp;"»","ОК")</f>
        <v>ОК</v>
      </c>
      <c r="O9" s="61" t="s">
        <v>204</v>
      </c>
      <c r="P9" s="17" t="str">
        <f>IF(Q9&gt;0,INDEX($A$25:$A$29,Q9,1),CHAR(151))</f>
        <v>—</v>
      </c>
      <c r="Q9" s="18">
        <f>IF(ISERROR(MATCH(FALSE,R9:V9,0)),0,MATCH(FALSE,R9:V9,0))</f>
        <v>0</v>
      </c>
      <c r="R9" s="18" t="b">
        <f>$F25&lt;=$E25</f>
        <v>1</v>
      </c>
      <c r="S9" s="18" t="b">
        <f>$F26&lt;=$E26</f>
        <v>1</v>
      </c>
      <c r="T9" s="18" t="b">
        <f>$F27&lt;=$E27</f>
        <v>1</v>
      </c>
      <c r="U9" s="18" t="b">
        <f>$F28&lt;=$E28</f>
        <v>1</v>
      </c>
      <c r="V9" s="18" t="b">
        <f>$F29&lt;=$E29</f>
        <v>1</v>
      </c>
    </row>
    <row r="10" spans="1:25" ht="30" customHeight="1" x14ac:dyDescent="0.25">
      <c r="A10" s="24" t="s">
        <v>207</v>
      </c>
      <c r="B10" s="24" t="s">
        <v>48</v>
      </c>
      <c r="C10" s="86"/>
      <c r="D10" s="86"/>
      <c r="E10" s="43">
        <f>G10+H10+I10+L10+M10</f>
        <v>0</v>
      </c>
      <c r="F10" s="86"/>
      <c r="G10" s="86"/>
      <c r="H10" s="86"/>
      <c r="I10" s="86"/>
      <c r="J10" s="129" t="s">
        <v>46</v>
      </c>
      <c r="K10" s="129" t="s">
        <v>46</v>
      </c>
      <c r="L10" s="86"/>
      <c r="M10" s="86"/>
      <c r="N10" s="16" t="str">
        <f>IF(Q10&gt;0,"гр.5 &gt; гр.3 по строке «"&amp;P10&amp;"»","ОК")</f>
        <v>ОК</v>
      </c>
      <c r="O10" s="61" t="s">
        <v>206</v>
      </c>
      <c r="P10" s="17" t="str">
        <f>IF(Q10&gt;0,INDEX($A$25:$A$29,Q10,1),CHAR(151))</f>
        <v>—</v>
      </c>
      <c r="Q10" s="18">
        <f>IF(ISERROR(MATCH(FALSE,R10:V10,0)),0,MATCH(FALSE,R10:V10,0))</f>
        <v>0</v>
      </c>
      <c r="R10" s="18" t="b">
        <f>$E25&lt;=$C25</f>
        <v>1</v>
      </c>
      <c r="S10" s="18" t="b">
        <f>$E25&lt;=$C25</f>
        <v>1</v>
      </c>
      <c r="T10" s="18" t="b">
        <f>$E25&lt;=$C25</f>
        <v>1</v>
      </c>
      <c r="U10" s="18" t="b">
        <f>$E25&lt;=$C25</f>
        <v>1</v>
      </c>
      <c r="V10" s="18" t="b">
        <f>$E25&lt;=$C25</f>
        <v>1</v>
      </c>
    </row>
    <row r="11" spans="1:25" ht="30" customHeight="1" x14ac:dyDescent="0.25">
      <c r="A11" s="24" t="s">
        <v>209</v>
      </c>
      <c r="B11" s="24" t="s">
        <v>50</v>
      </c>
      <c r="C11" s="86"/>
      <c r="D11" s="86"/>
      <c r="E11" s="43">
        <f>G11+H11+I11+L11+M11</f>
        <v>0</v>
      </c>
      <c r="F11" s="86"/>
      <c r="G11" s="86"/>
      <c r="H11" s="86"/>
      <c r="I11" s="86"/>
      <c r="J11" s="129" t="s">
        <v>46</v>
      </c>
      <c r="K11" s="129" t="s">
        <v>46</v>
      </c>
      <c r="L11" s="86"/>
      <c r="M11" s="86"/>
      <c r="N11" s="16" t="str">
        <f>IF(Q11&gt;0,"гр.4 &gt; гр.3 по строке «"&amp;P11&amp;"»","ОК")</f>
        <v>ОК</v>
      </c>
      <c r="O11" s="61" t="s">
        <v>208</v>
      </c>
      <c r="P11" s="17" t="str">
        <f>IF(Q11&gt;0,INDEX($A$25:$A$29,Q11,1),CHAR(151))</f>
        <v>—</v>
      </c>
      <c r="Q11" s="18">
        <f>IF(ISERROR(MATCH(FALSE,R11:V11,0)),0,MATCH(FALSE,R11:V11,0))</f>
        <v>0</v>
      </c>
      <c r="R11" s="18" t="b">
        <f>$D25&lt;=$C25</f>
        <v>1</v>
      </c>
      <c r="S11" s="18" t="b">
        <f>$D26&lt;=$C26</f>
        <v>1</v>
      </c>
      <c r="T11" s="18" t="b">
        <f>$D27&lt;=$C27</f>
        <v>1</v>
      </c>
      <c r="U11" s="18" t="b">
        <f>$D28&lt;=$C28</f>
        <v>1</v>
      </c>
      <c r="V11" s="18" t="b">
        <f>$D29&lt;=$C29</f>
        <v>1</v>
      </c>
    </row>
    <row r="12" spans="1:25" ht="30" customHeight="1" x14ac:dyDescent="0.25">
      <c r="A12" s="24" t="s">
        <v>210</v>
      </c>
      <c r="B12" s="24" t="s">
        <v>92</v>
      </c>
      <c r="C12" s="86"/>
      <c r="D12" s="86"/>
      <c r="E12" s="43">
        <f>G12+H12+I12+L12+M12</f>
        <v>0</v>
      </c>
      <c r="F12" s="86"/>
      <c r="G12" s="86"/>
      <c r="H12" s="86"/>
      <c r="I12" s="86"/>
      <c r="J12" s="129" t="s">
        <v>46</v>
      </c>
      <c r="K12" s="129" t="s">
        <v>46</v>
      </c>
      <c r="L12" s="86"/>
      <c r="M12" s="86"/>
      <c r="N12" s="144" t="str">
        <f>IF(SUM(C8:C10)&lt;&gt;C47,"сумма  по гр.3  стр.8+стр10 не равна гр.3 стр. 47","ОК")</f>
        <v>ОК</v>
      </c>
      <c r="O12" s="143" t="s">
        <v>334</v>
      </c>
      <c r="P12" s="17"/>
      <c r="Q12" s="18"/>
      <c r="R12" s="18"/>
    </row>
    <row r="13" spans="1:25" ht="30" customHeight="1" x14ac:dyDescent="0.25">
      <c r="N13" s="144" t="str">
        <f>IF(SUM(C16,C18)&lt;&gt;C48,"сумма  по гр.3 стр 16+стр18 не равна гр.3 стр48","ОК")</f>
        <v>ОК</v>
      </c>
      <c r="O13" s="143" t="s">
        <v>335</v>
      </c>
      <c r="R13" s="18"/>
    </row>
    <row r="14" spans="1:25" ht="15" customHeight="1" x14ac:dyDescent="0.25">
      <c r="A14" s="53" t="s">
        <v>195</v>
      </c>
      <c r="B14" s="139" t="s">
        <v>66</v>
      </c>
      <c r="C14" s="138" t="s">
        <v>67</v>
      </c>
      <c r="D14" s="138" t="s">
        <v>135</v>
      </c>
      <c r="E14" s="138" t="s">
        <v>69</v>
      </c>
      <c r="F14" s="138" t="s">
        <v>135</v>
      </c>
      <c r="G14" s="138" t="s">
        <v>196</v>
      </c>
      <c r="H14" s="138" t="s">
        <v>197</v>
      </c>
      <c r="I14" s="138" t="s">
        <v>198</v>
      </c>
      <c r="J14" s="138" t="s">
        <v>31</v>
      </c>
      <c r="K14" s="138" t="s">
        <v>32</v>
      </c>
      <c r="L14" s="138" t="s">
        <v>199</v>
      </c>
      <c r="M14" s="138" t="s">
        <v>200</v>
      </c>
      <c r="R14" s="18"/>
    </row>
    <row r="15" spans="1:25" ht="15.75" customHeight="1" x14ac:dyDescent="0.25">
      <c r="A15" s="57">
        <v>1</v>
      </c>
      <c r="B15" s="56" t="s">
        <v>317</v>
      </c>
      <c r="C15" s="58" t="s">
        <v>77</v>
      </c>
      <c r="D15" s="57" t="s">
        <v>78</v>
      </c>
      <c r="E15" s="57" t="s">
        <v>79</v>
      </c>
      <c r="F15" s="57" t="s">
        <v>80</v>
      </c>
      <c r="G15" s="57" t="s">
        <v>81</v>
      </c>
      <c r="H15" s="57" t="s">
        <v>82</v>
      </c>
      <c r="I15" s="57" t="s">
        <v>83</v>
      </c>
      <c r="J15" s="57" t="s">
        <v>84</v>
      </c>
      <c r="K15" s="57" t="s">
        <v>85</v>
      </c>
      <c r="L15" s="57" t="s">
        <v>86</v>
      </c>
      <c r="M15" s="57" t="s">
        <v>87</v>
      </c>
      <c r="R15" s="18"/>
    </row>
    <row r="16" spans="1:25" ht="30" x14ac:dyDescent="0.25">
      <c r="A16" s="24" t="s">
        <v>202</v>
      </c>
      <c r="B16" s="24" t="s">
        <v>203</v>
      </c>
      <c r="C16" s="86">
        <v>19</v>
      </c>
      <c r="D16" s="86">
        <v>19</v>
      </c>
      <c r="E16" s="43">
        <f>G16+H16+I16+L16+M16</f>
        <v>19</v>
      </c>
      <c r="F16" s="86">
        <v>19</v>
      </c>
      <c r="G16" s="86"/>
      <c r="H16" s="86">
        <v>15</v>
      </c>
      <c r="I16" s="86">
        <v>3</v>
      </c>
      <c r="J16" s="129" t="s">
        <v>46</v>
      </c>
      <c r="K16" s="129" t="s">
        <v>46</v>
      </c>
      <c r="L16" s="86">
        <v>1</v>
      </c>
      <c r="M16" s="86"/>
    </row>
    <row r="17" spans="1:13" ht="15.75" x14ac:dyDescent="0.25">
      <c r="A17" s="24" t="s">
        <v>205</v>
      </c>
      <c r="B17" s="24" t="s">
        <v>45</v>
      </c>
      <c r="C17" s="86">
        <v>0</v>
      </c>
      <c r="D17" s="86">
        <v>0</v>
      </c>
      <c r="E17" s="43">
        <f>G17+H17+I17+L17+M17</f>
        <v>0</v>
      </c>
      <c r="F17" s="86"/>
      <c r="G17" s="86"/>
      <c r="H17" s="86"/>
      <c r="I17" s="86"/>
      <c r="J17" s="129" t="s">
        <v>46</v>
      </c>
      <c r="K17" s="129" t="s">
        <v>46</v>
      </c>
      <c r="L17" s="86"/>
      <c r="M17" s="86"/>
    </row>
    <row r="18" spans="1:13" ht="15.75" x14ac:dyDescent="0.25">
      <c r="A18" s="24" t="s">
        <v>207</v>
      </c>
      <c r="B18" s="24" t="s">
        <v>48</v>
      </c>
      <c r="C18" s="86">
        <v>16</v>
      </c>
      <c r="D18" s="86">
        <v>16</v>
      </c>
      <c r="E18" s="43">
        <f>G18+H18+I18+L18+M18</f>
        <v>16</v>
      </c>
      <c r="F18" s="86">
        <v>16</v>
      </c>
      <c r="G18" s="86">
        <v>2</v>
      </c>
      <c r="H18" s="86">
        <v>12</v>
      </c>
      <c r="I18" s="86">
        <v>2</v>
      </c>
      <c r="J18" s="129" t="s">
        <v>46</v>
      </c>
      <c r="K18" s="129" t="s">
        <v>46</v>
      </c>
      <c r="L18" s="86"/>
      <c r="M18" s="86"/>
    </row>
    <row r="19" spans="1:13" ht="30" x14ac:dyDescent="0.25">
      <c r="A19" s="24" t="s">
        <v>209</v>
      </c>
      <c r="B19" s="24" t="s">
        <v>50</v>
      </c>
      <c r="C19" s="86">
        <v>5</v>
      </c>
      <c r="D19" s="86">
        <v>5</v>
      </c>
      <c r="E19" s="43">
        <f>G19+H19+I19+L19+M19</f>
        <v>5</v>
      </c>
      <c r="F19" s="86">
        <v>5</v>
      </c>
      <c r="G19" s="86">
        <v>1</v>
      </c>
      <c r="H19" s="86">
        <v>3</v>
      </c>
      <c r="I19" s="86">
        <v>1</v>
      </c>
      <c r="J19" s="129" t="s">
        <v>46</v>
      </c>
      <c r="K19" s="129" t="s">
        <v>46</v>
      </c>
      <c r="L19" s="86"/>
      <c r="M19" s="86"/>
    </row>
    <row r="20" spans="1:13" ht="37.5" customHeight="1" x14ac:dyDescent="0.25">
      <c r="A20" s="24" t="s">
        <v>210</v>
      </c>
      <c r="B20" s="24" t="s">
        <v>92</v>
      </c>
      <c r="C20" s="86">
        <v>35</v>
      </c>
      <c r="D20" s="86">
        <v>35</v>
      </c>
      <c r="E20" s="43">
        <f>G20+H20+I20+L20+M20</f>
        <v>35</v>
      </c>
      <c r="F20" s="86">
        <v>35</v>
      </c>
      <c r="G20" s="86">
        <v>2</v>
      </c>
      <c r="H20" s="86">
        <v>27</v>
      </c>
      <c r="I20" s="86">
        <v>5</v>
      </c>
      <c r="J20" s="129" t="s">
        <v>46</v>
      </c>
      <c r="K20" s="129" t="s">
        <v>46</v>
      </c>
      <c r="L20" s="86">
        <v>1</v>
      </c>
      <c r="M20" s="86"/>
    </row>
    <row r="21" spans="1:13" ht="45" customHeight="1" x14ac:dyDescent="0.25"/>
    <row r="23" spans="1:13" ht="90" x14ac:dyDescent="0.25">
      <c r="A23" s="53" t="s">
        <v>195</v>
      </c>
      <c r="B23" s="140" t="s">
        <v>66</v>
      </c>
      <c r="C23" s="54" t="s">
        <v>67</v>
      </c>
      <c r="D23" s="54" t="s">
        <v>135</v>
      </c>
      <c r="E23" s="54" t="s">
        <v>69</v>
      </c>
      <c r="F23" s="54" t="s">
        <v>135</v>
      </c>
      <c r="G23" s="54" t="s">
        <v>196</v>
      </c>
      <c r="H23" s="54" t="s">
        <v>197</v>
      </c>
      <c r="I23" s="54" t="s">
        <v>198</v>
      </c>
      <c r="J23" s="54" t="s">
        <v>31</v>
      </c>
      <c r="K23" s="54" t="s">
        <v>32</v>
      </c>
      <c r="L23" s="54" t="s">
        <v>199</v>
      </c>
      <c r="M23" s="54" t="s">
        <v>200</v>
      </c>
    </row>
    <row r="24" spans="1:13" x14ac:dyDescent="0.25">
      <c r="A24" s="57">
        <v>1</v>
      </c>
      <c r="B24" s="141" t="s">
        <v>318</v>
      </c>
      <c r="C24" s="58" t="s">
        <v>77</v>
      </c>
      <c r="D24" s="57" t="s">
        <v>78</v>
      </c>
      <c r="E24" s="57" t="s">
        <v>79</v>
      </c>
      <c r="F24" s="57" t="s">
        <v>80</v>
      </c>
      <c r="G24" s="57" t="s">
        <v>81</v>
      </c>
      <c r="H24" s="57" t="s">
        <v>82</v>
      </c>
      <c r="I24" s="57" t="s">
        <v>83</v>
      </c>
      <c r="J24" s="57" t="s">
        <v>84</v>
      </c>
      <c r="K24" s="57" t="s">
        <v>85</v>
      </c>
      <c r="L24" s="57" t="s">
        <v>86</v>
      </c>
      <c r="M24" s="57" t="s">
        <v>87</v>
      </c>
    </row>
    <row r="25" spans="1:13" ht="30" x14ac:dyDescent="0.25">
      <c r="A25" s="24" t="s">
        <v>202</v>
      </c>
      <c r="B25" s="24" t="s">
        <v>203</v>
      </c>
      <c r="C25" s="150">
        <f>C8+C16</f>
        <v>19</v>
      </c>
      <c r="D25" s="150">
        <f t="shared" ref="D25:I25" si="0">D8+D16</f>
        <v>19</v>
      </c>
      <c r="E25" s="150">
        <f t="shared" si="0"/>
        <v>19</v>
      </c>
      <c r="F25" s="150">
        <f t="shared" si="0"/>
        <v>19</v>
      </c>
      <c r="G25" s="150">
        <f t="shared" si="0"/>
        <v>0</v>
      </c>
      <c r="H25" s="150">
        <f t="shared" si="0"/>
        <v>15</v>
      </c>
      <c r="I25" s="150">
        <f t="shared" si="0"/>
        <v>3</v>
      </c>
      <c r="J25" s="150" t="s">
        <v>46</v>
      </c>
      <c r="K25" s="150" t="s">
        <v>46</v>
      </c>
      <c r="L25" s="142">
        <f>L8+L16</f>
        <v>1</v>
      </c>
      <c r="M25" s="150">
        <f>M8+M16</f>
        <v>0</v>
      </c>
    </row>
    <row r="26" spans="1:13" ht="15.75" x14ac:dyDescent="0.25">
      <c r="A26" s="24" t="s">
        <v>205</v>
      </c>
      <c r="B26" s="24" t="s">
        <v>45</v>
      </c>
      <c r="C26" s="150">
        <f t="shared" ref="C26:I26" si="1">C9+C17</f>
        <v>0</v>
      </c>
      <c r="D26" s="150">
        <f t="shared" si="1"/>
        <v>0</v>
      </c>
      <c r="E26" s="150">
        <f t="shared" si="1"/>
        <v>0</v>
      </c>
      <c r="F26" s="150">
        <f t="shared" si="1"/>
        <v>0</v>
      </c>
      <c r="G26" s="150">
        <f t="shared" si="1"/>
        <v>0</v>
      </c>
      <c r="H26" s="150">
        <f t="shared" si="1"/>
        <v>0</v>
      </c>
      <c r="I26" s="150">
        <f t="shared" si="1"/>
        <v>0</v>
      </c>
      <c r="J26" s="150" t="s">
        <v>46</v>
      </c>
      <c r="K26" s="150" t="s">
        <v>46</v>
      </c>
      <c r="L26" s="142">
        <f t="shared" ref="L26:M29" si="2">L9+L17</f>
        <v>0</v>
      </c>
      <c r="M26" s="150">
        <f t="shared" si="2"/>
        <v>0</v>
      </c>
    </row>
    <row r="27" spans="1:13" ht="15.75" x14ac:dyDescent="0.25">
      <c r="A27" s="24" t="s">
        <v>207</v>
      </c>
      <c r="B27" s="24" t="s">
        <v>48</v>
      </c>
      <c r="C27" s="150">
        <f t="shared" ref="C27:I27" si="3">C10+C18</f>
        <v>16</v>
      </c>
      <c r="D27" s="150">
        <f t="shared" si="3"/>
        <v>16</v>
      </c>
      <c r="E27" s="150">
        <f t="shared" si="3"/>
        <v>16</v>
      </c>
      <c r="F27" s="150">
        <f t="shared" si="3"/>
        <v>16</v>
      </c>
      <c r="G27" s="150">
        <f t="shared" si="3"/>
        <v>2</v>
      </c>
      <c r="H27" s="150">
        <f t="shared" si="3"/>
        <v>12</v>
      </c>
      <c r="I27" s="150">
        <f t="shared" si="3"/>
        <v>2</v>
      </c>
      <c r="J27" s="150" t="s">
        <v>46</v>
      </c>
      <c r="K27" s="150" t="s">
        <v>46</v>
      </c>
      <c r="L27" s="142">
        <f t="shared" si="2"/>
        <v>0</v>
      </c>
      <c r="M27" s="150">
        <f t="shared" si="2"/>
        <v>0</v>
      </c>
    </row>
    <row r="28" spans="1:13" ht="30" x14ac:dyDescent="0.25">
      <c r="A28" s="24" t="s">
        <v>209</v>
      </c>
      <c r="B28" s="24" t="s">
        <v>50</v>
      </c>
      <c r="C28" s="150">
        <f t="shared" ref="C28:I28" si="4">C11+C19</f>
        <v>5</v>
      </c>
      <c r="D28" s="150">
        <f t="shared" si="4"/>
        <v>5</v>
      </c>
      <c r="E28" s="150">
        <f t="shared" si="4"/>
        <v>5</v>
      </c>
      <c r="F28" s="150">
        <f t="shared" si="4"/>
        <v>5</v>
      </c>
      <c r="G28" s="150">
        <f t="shared" si="4"/>
        <v>1</v>
      </c>
      <c r="H28" s="150">
        <f t="shared" si="4"/>
        <v>3</v>
      </c>
      <c r="I28" s="150">
        <f t="shared" si="4"/>
        <v>1</v>
      </c>
      <c r="J28" s="150" t="s">
        <v>46</v>
      </c>
      <c r="K28" s="150" t="s">
        <v>46</v>
      </c>
      <c r="L28" s="142">
        <f t="shared" si="2"/>
        <v>0</v>
      </c>
      <c r="M28" s="150">
        <f t="shared" si="2"/>
        <v>0</v>
      </c>
    </row>
    <row r="29" spans="1:13" ht="30" x14ac:dyDescent="0.25">
      <c r="A29" s="24" t="s">
        <v>210</v>
      </c>
      <c r="B29" s="24" t="s">
        <v>92</v>
      </c>
      <c r="C29" s="150">
        <f t="shared" ref="C29:I29" si="5">C12+C20</f>
        <v>35</v>
      </c>
      <c r="D29" s="150">
        <f t="shared" si="5"/>
        <v>35</v>
      </c>
      <c r="E29" s="150">
        <f t="shared" si="5"/>
        <v>35</v>
      </c>
      <c r="F29" s="150">
        <f t="shared" si="5"/>
        <v>35</v>
      </c>
      <c r="G29" s="150">
        <f t="shared" si="5"/>
        <v>2</v>
      </c>
      <c r="H29" s="150">
        <f t="shared" si="5"/>
        <v>27</v>
      </c>
      <c r="I29" s="150">
        <f t="shared" si="5"/>
        <v>5</v>
      </c>
      <c r="J29" s="150" t="s">
        <v>46</v>
      </c>
      <c r="K29" s="150" t="s">
        <v>46</v>
      </c>
      <c r="L29" s="142">
        <f t="shared" si="2"/>
        <v>1</v>
      </c>
      <c r="M29" s="150">
        <f t="shared" si="2"/>
        <v>0</v>
      </c>
    </row>
    <row r="30" spans="1:13" ht="31.5" customHeight="1" x14ac:dyDescent="0.25"/>
    <row r="31" spans="1:13" ht="15.75" thickBot="1" x14ac:dyDescent="0.3"/>
    <row r="32" spans="1:13" ht="15.75" x14ac:dyDescent="0.25">
      <c r="B32" s="196" t="s">
        <v>59</v>
      </c>
      <c r="C32" s="197"/>
      <c r="D32" s="198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E32" s="199"/>
      <c r="F32" s="200"/>
      <c r="G32" s="201"/>
    </row>
    <row r="33" spans="1:19" ht="15.75" x14ac:dyDescent="0.25">
      <c r="B33" s="190" t="s">
        <v>61</v>
      </c>
      <c r="C33" s="191"/>
      <c r="D33" s="192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E33" s="193"/>
      <c r="F33" s="194"/>
      <c r="G33" s="195"/>
    </row>
    <row r="34" spans="1:19" ht="16.5" thickBot="1" x14ac:dyDescent="0.3">
      <c r="B34" s="212" t="s">
        <v>63</v>
      </c>
      <c r="C34" s="213"/>
      <c r="D34" s="214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E34" s="215"/>
      <c r="F34" s="216"/>
      <c r="G34" s="217"/>
    </row>
    <row r="36" spans="1:19" ht="15.75" customHeight="1" x14ac:dyDescent="0.25">
      <c r="A36" s="236"/>
      <c r="B36" s="235" t="s">
        <v>285</v>
      </c>
      <c r="C36" s="210" t="s">
        <v>67</v>
      </c>
      <c r="D36" s="210"/>
      <c r="E36" s="210" t="s">
        <v>69</v>
      </c>
      <c r="F36" s="210"/>
      <c r="G36" s="210" t="s">
        <v>286</v>
      </c>
      <c r="H36" s="210"/>
      <c r="I36" s="187" t="s">
        <v>275</v>
      </c>
      <c r="J36" s="187"/>
      <c r="K36" s="187" t="s">
        <v>276</v>
      </c>
      <c r="L36" s="187"/>
      <c r="N36" s="234" t="s">
        <v>14</v>
      </c>
    </row>
    <row r="37" spans="1:19" ht="47.25" x14ac:dyDescent="0.25">
      <c r="A37" s="236"/>
      <c r="B37" s="235"/>
      <c r="C37" s="96" t="s">
        <v>20</v>
      </c>
      <c r="D37" s="96" t="s">
        <v>135</v>
      </c>
      <c r="E37" s="96" t="s">
        <v>20</v>
      </c>
      <c r="F37" s="95" t="s">
        <v>135</v>
      </c>
      <c r="G37" s="96" t="s">
        <v>20</v>
      </c>
      <c r="H37" s="96" t="s">
        <v>135</v>
      </c>
      <c r="I37" s="93" t="s">
        <v>277</v>
      </c>
      <c r="J37" s="93" t="s">
        <v>21</v>
      </c>
      <c r="K37" s="93" t="s">
        <v>277</v>
      </c>
      <c r="L37" s="93" t="s">
        <v>21</v>
      </c>
      <c r="N37" s="234"/>
    </row>
    <row r="38" spans="1:19" ht="15" customHeight="1" x14ac:dyDescent="0.25">
      <c r="A38" s="24" t="s">
        <v>136</v>
      </c>
      <c r="B38" s="56" t="s">
        <v>201</v>
      </c>
      <c r="C38" s="57" t="s">
        <v>77</v>
      </c>
      <c r="D38" s="57" t="s">
        <v>78</v>
      </c>
      <c r="E38" s="57" t="s">
        <v>79</v>
      </c>
      <c r="F38" s="57" t="s">
        <v>80</v>
      </c>
      <c r="G38" s="57" t="s">
        <v>81</v>
      </c>
      <c r="H38" s="57" t="s">
        <v>82</v>
      </c>
      <c r="I38" s="57" t="s">
        <v>83</v>
      </c>
      <c r="J38" s="57" t="s">
        <v>84</v>
      </c>
      <c r="K38" s="57" t="s">
        <v>85</v>
      </c>
      <c r="L38" s="57" t="s">
        <v>86</v>
      </c>
      <c r="N38" s="234"/>
    </row>
    <row r="39" spans="1:19" ht="30" x14ac:dyDescent="0.25">
      <c r="A39" s="24" t="s">
        <v>202</v>
      </c>
      <c r="B39" s="24" t="s">
        <v>138</v>
      </c>
      <c r="C39" s="41">
        <f t="shared" ref="C39:F39" si="6">C27</f>
        <v>16</v>
      </c>
      <c r="D39" s="41">
        <f t="shared" si="6"/>
        <v>16</v>
      </c>
      <c r="E39" s="41">
        <f t="shared" si="6"/>
        <v>16</v>
      </c>
      <c r="F39" s="41">
        <f t="shared" si="6"/>
        <v>16</v>
      </c>
      <c r="G39" s="41">
        <f>G40+G41</f>
        <v>0</v>
      </c>
      <c r="H39" s="41">
        <f t="shared" ref="H39:L39" si="7">H40+H41</f>
        <v>0</v>
      </c>
      <c r="I39" s="41">
        <f t="shared" si="7"/>
        <v>0</v>
      </c>
      <c r="J39" s="41">
        <f t="shared" si="7"/>
        <v>0</v>
      </c>
      <c r="K39" s="41">
        <f t="shared" si="7"/>
        <v>0</v>
      </c>
      <c r="L39" s="41">
        <f t="shared" si="7"/>
        <v>0</v>
      </c>
      <c r="N39" s="16" t="str">
        <f>IF(Q38&gt;0,"гр.7 &gt; гр.3 по строке «"&amp;P38&amp;"»","ОК")</f>
        <v>ОК</v>
      </c>
      <c r="O39" s="61" t="s">
        <v>320</v>
      </c>
      <c r="P39" s="17" t="str">
        <f>IF(Q39&gt;0,INDEX($A$40:$A$41,Q39,1),CHAR(151))</f>
        <v>—</v>
      </c>
      <c r="Q39" s="18">
        <f t="shared" ref="Q39:Q44" si="8">IF(ISERROR(MATCH(FALSE,R39:S39,0)),0,MATCH(FALSE,R39:S39,0))</f>
        <v>0</v>
      </c>
      <c r="R39" s="18" t="b">
        <f>$G40&lt;=$C40</f>
        <v>1</v>
      </c>
      <c r="S39" s="18" t="b">
        <f>$G41&lt;=$C41</f>
        <v>1</v>
      </c>
    </row>
    <row r="40" spans="1:19" ht="45" x14ac:dyDescent="0.25">
      <c r="A40" s="24" t="s">
        <v>214</v>
      </c>
      <c r="B40" s="24" t="s">
        <v>139</v>
      </c>
      <c r="C40" s="75">
        <f>C28</f>
        <v>5</v>
      </c>
      <c r="D40" s="75">
        <f t="shared" ref="D40:F40" si="9">D28</f>
        <v>5</v>
      </c>
      <c r="E40" s="75">
        <f t="shared" si="9"/>
        <v>5</v>
      </c>
      <c r="F40" s="75">
        <f t="shared" si="9"/>
        <v>5</v>
      </c>
      <c r="G40" s="86"/>
      <c r="H40" s="86"/>
      <c r="I40" s="86"/>
      <c r="J40" s="86"/>
      <c r="K40" s="86"/>
      <c r="L40" s="86"/>
      <c r="N40" s="16" t="str">
        <f>IF(Q40&gt;0,"гр.8 &gt; гр.7 по строке «"&amp;P40&amp;"»","ОК")</f>
        <v>ОК</v>
      </c>
      <c r="O40" s="61" t="s">
        <v>321</v>
      </c>
      <c r="P40" s="17" t="str">
        <f t="shared" ref="P40:P44" si="10">IF(Q40&gt;0,INDEX($A$40:$A$41,Q40,1),CHAR(151))</f>
        <v>—</v>
      </c>
      <c r="Q40" s="18">
        <f t="shared" si="8"/>
        <v>0</v>
      </c>
      <c r="R40" s="18" t="b">
        <f>$H40&lt;=$G40</f>
        <v>1</v>
      </c>
      <c r="S40" s="18" t="b">
        <f>$H41&lt;=$G41</f>
        <v>1</v>
      </c>
    </row>
    <row r="41" spans="1:19" ht="30" x14ac:dyDescent="0.25">
      <c r="A41" s="24" t="s">
        <v>215</v>
      </c>
      <c r="B41" s="24" t="s">
        <v>140</v>
      </c>
      <c r="C41" s="75">
        <f>C39-C40</f>
        <v>11</v>
      </c>
      <c r="D41" s="75">
        <f t="shared" ref="D41:F41" si="11">D39-D40</f>
        <v>11</v>
      </c>
      <c r="E41" s="75">
        <f t="shared" si="11"/>
        <v>11</v>
      </c>
      <c r="F41" s="75">
        <f t="shared" si="11"/>
        <v>11</v>
      </c>
      <c r="G41" s="86"/>
      <c r="H41" s="86"/>
      <c r="I41" s="86"/>
      <c r="J41" s="86"/>
      <c r="K41" s="86"/>
      <c r="L41" s="86"/>
      <c r="N41" s="16" t="str">
        <f>IF(Q41&gt;0,"гр.9 &gt; гр.7 по строке «"&amp;P41&amp;"»","ОК")</f>
        <v>ОК</v>
      </c>
      <c r="O41" s="61" t="s">
        <v>322</v>
      </c>
      <c r="P41" s="17" t="str">
        <f t="shared" si="10"/>
        <v>—</v>
      </c>
      <c r="Q41" s="18">
        <f t="shared" si="8"/>
        <v>0</v>
      </c>
      <c r="R41" s="18" t="b">
        <f>$I40&lt;=$G40</f>
        <v>1</v>
      </c>
      <c r="S41" s="18" t="b">
        <f>$I41&lt;=$G41</f>
        <v>1</v>
      </c>
    </row>
    <row r="42" spans="1:19" ht="30" x14ac:dyDescent="0.25">
      <c r="N42" s="16" t="str">
        <f>IF(Q42&gt;0,"гр.10 &gt; гр.9 по строке «"&amp;P42&amp;"»","ОК")</f>
        <v>ОК</v>
      </c>
      <c r="O42" s="61" t="s">
        <v>323</v>
      </c>
      <c r="P42" s="17" t="str">
        <f t="shared" si="10"/>
        <v>—</v>
      </c>
      <c r="Q42" s="18">
        <f t="shared" si="8"/>
        <v>0</v>
      </c>
      <c r="R42" s="18" t="b">
        <f>$J40&lt;=$I40</f>
        <v>1</v>
      </c>
      <c r="S42" s="18" t="b">
        <f>$J41&lt;=$I41</f>
        <v>1</v>
      </c>
    </row>
    <row r="43" spans="1:19" ht="30" x14ac:dyDescent="0.25">
      <c r="N43" s="16" t="str">
        <f>IF(Q43&gt;0,"гр.11 &gt; гр.7 по строке «"&amp;P43&amp;"»","ОК")</f>
        <v>ОК</v>
      </c>
      <c r="O43" s="61" t="s">
        <v>324</v>
      </c>
      <c r="P43" s="17" t="str">
        <f t="shared" si="10"/>
        <v>—</v>
      </c>
      <c r="Q43" s="18">
        <f t="shared" si="8"/>
        <v>0</v>
      </c>
      <c r="R43" s="18" t="b">
        <f>$K40&lt;=$G40</f>
        <v>1</v>
      </c>
      <c r="S43" s="18" t="b">
        <f>$K41&lt;=$G41</f>
        <v>1</v>
      </c>
    </row>
    <row r="44" spans="1:19" ht="90" x14ac:dyDescent="0.25">
      <c r="A44" s="53" t="s">
        <v>195</v>
      </c>
      <c r="B44" s="134" t="s">
        <v>66</v>
      </c>
      <c r="C44" s="135" t="s">
        <v>67</v>
      </c>
      <c r="D44" s="135" t="s">
        <v>135</v>
      </c>
      <c r="E44" s="135" t="s">
        <v>69</v>
      </c>
      <c r="F44" s="135" t="s">
        <v>135</v>
      </c>
      <c r="G44" s="135" t="s">
        <v>196</v>
      </c>
      <c r="H44" s="135" t="s">
        <v>197</v>
      </c>
      <c r="I44" s="135" t="s">
        <v>198</v>
      </c>
      <c r="J44" s="135" t="s">
        <v>31</v>
      </c>
      <c r="K44" s="135" t="s">
        <v>32</v>
      </c>
      <c r="L44" s="135" t="s">
        <v>199</v>
      </c>
      <c r="M44" s="135" t="s">
        <v>200</v>
      </c>
      <c r="N44" s="16" t="str">
        <f>IF(Q44&gt;0,"гр.12 &gt; гр.11 по строке «"&amp;P44&amp;"»","ОК")</f>
        <v>ОК</v>
      </c>
      <c r="O44" s="61" t="s">
        <v>325</v>
      </c>
      <c r="P44" s="17" t="str">
        <f t="shared" si="10"/>
        <v>—</v>
      </c>
      <c r="Q44" s="18">
        <f t="shared" si="8"/>
        <v>0</v>
      </c>
      <c r="R44" s="18" t="b">
        <f>$L40&lt;=$K40</f>
        <v>1</v>
      </c>
      <c r="S44" s="18" t="b">
        <f>$L41&lt;=$K41</f>
        <v>1</v>
      </c>
    </row>
    <row r="45" spans="1:19" x14ac:dyDescent="0.25">
      <c r="A45" s="57">
        <v>1</v>
      </c>
      <c r="B45" s="56" t="s">
        <v>201</v>
      </c>
      <c r="C45" s="58" t="s">
        <v>77</v>
      </c>
      <c r="D45" s="57" t="s">
        <v>78</v>
      </c>
      <c r="E45" s="57" t="s">
        <v>79</v>
      </c>
      <c r="F45" s="57" t="s">
        <v>80</v>
      </c>
      <c r="G45" s="57" t="s">
        <v>81</v>
      </c>
      <c r="H45" s="57" t="s">
        <v>82</v>
      </c>
      <c r="I45" s="57" t="s">
        <v>83</v>
      </c>
      <c r="J45" s="57" t="s">
        <v>84</v>
      </c>
      <c r="K45" s="57" t="s">
        <v>85</v>
      </c>
      <c r="L45" s="57" t="s">
        <v>86</v>
      </c>
      <c r="M45" s="57" t="s">
        <v>87</v>
      </c>
    </row>
    <row r="46" spans="1:19" x14ac:dyDescent="0.25">
      <c r="A46" s="57">
        <v>1</v>
      </c>
      <c r="B46" s="133" t="s">
        <v>277</v>
      </c>
      <c r="C46" s="145">
        <f>C47+C48</f>
        <v>35</v>
      </c>
      <c r="D46" s="145">
        <f t="shared" ref="D46:I46" si="12">D47+D48</f>
        <v>35</v>
      </c>
      <c r="E46" s="145">
        <f t="shared" si="12"/>
        <v>35</v>
      </c>
      <c r="F46" s="145">
        <f t="shared" si="12"/>
        <v>35</v>
      </c>
      <c r="G46" s="145">
        <f t="shared" si="12"/>
        <v>2</v>
      </c>
      <c r="H46" s="145">
        <f t="shared" si="12"/>
        <v>27</v>
      </c>
      <c r="I46" s="145">
        <f t="shared" si="12"/>
        <v>5</v>
      </c>
      <c r="J46" s="146" t="s">
        <v>46</v>
      </c>
      <c r="K46" s="146" t="s">
        <v>46</v>
      </c>
      <c r="L46" s="146">
        <f>L47+L48</f>
        <v>1</v>
      </c>
      <c r="M46" s="146">
        <f>M47+M48</f>
        <v>0</v>
      </c>
    </row>
    <row r="47" spans="1:19" ht="45" x14ac:dyDescent="0.25">
      <c r="A47" s="24">
        <v>2</v>
      </c>
      <c r="B47" s="24" t="s">
        <v>315</v>
      </c>
      <c r="C47" s="147">
        <f>IF($B$4="",0,VLOOKUP($B$4,'план 2024'!$B$2:$J$45,9,FALSE))</f>
        <v>0</v>
      </c>
      <c r="D47" s="148">
        <f t="shared" ref="D47:I47" si="13">D8+D10</f>
        <v>0</v>
      </c>
      <c r="E47" s="148">
        <f t="shared" si="13"/>
        <v>0</v>
      </c>
      <c r="F47" s="148">
        <f t="shared" si="13"/>
        <v>0</v>
      </c>
      <c r="G47" s="148">
        <f t="shared" si="13"/>
        <v>0</v>
      </c>
      <c r="H47" s="148">
        <f t="shared" si="13"/>
        <v>0</v>
      </c>
      <c r="I47" s="148">
        <f t="shared" si="13"/>
        <v>0</v>
      </c>
      <c r="J47" s="149" t="s">
        <v>46</v>
      </c>
      <c r="K47" s="149" t="s">
        <v>46</v>
      </c>
      <c r="L47" s="150">
        <f t="shared" ref="L47:M47" si="14">L8+L10</f>
        <v>0</v>
      </c>
      <c r="M47" s="150">
        <f t="shared" si="14"/>
        <v>0</v>
      </c>
    </row>
    <row r="48" spans="1:19" ht="30" x14ac:dyDescent="0.25">
      <c r="A48" s="24">
        <v>3</v>
      </c>
      <c r="B48" s="24" t="s">
        <v>316</v>
      </c>
      <c r="C48" s="147">
        <f>IF($B$4="",0,VLOOKUP($B$4,'план 2024'!$B$2:$J$45,8,FALSE))</f>
        <v>35</v>
      </c>
      <c r="D48" s="148">
        <f t="shared" ref="D48:I48" si="15">D16+D18</f>
        <v>35</v>
      </c>
      <c r="E48" s="148">
        <f t="shared" si="15"/>
        <v>35</v>
      </c>
      <c r="F48" s="148">
        <f t="shared" si="15"/>
        <v>35</v>
      </c>
      <c r="G48" s="148">
        <f t="shared" si="15"/>
        <v>2</v>
      </c>
      <c r="H48" s="148">
        <f t="shared" si="15"/>
        <v>27</v>
      </c>
      <c r="I48" s="148">
        <f t="shared" si="15"/>
        <v>5</v>
      </c>
      <c r="J48" s="149" t="s">
        <v>46</v>
      </c>
      <c r="K48" s="149" t="s">
        <v>46</v>
      </c>
      <c r="L48" s="150">
        <f t="shared" ref="L48:M48" si="16">L16+L18</f>
        <v>1</v>
      </c>
      <c r="M48" s="150">
        <f t="shared" si="16"/>
        <v>0</v>
      </c>
    </row>
    <row r="49" spans="4:6" x14ac:dyDescent="0.25">
      <c r="D49" s="136"/>
      <c r="E49" s="136"/>
      <c r="F49" s="136"/>
    </row>
  </sheetData>
  <sheetProtection password="DB70" sheet="1" objects="1" scenarios="1" autoFilter="0"/>
  <mergeCells count="19">
    <mergeCell ref="N36:N38"/>
    <mergeCell ref="B36:B37"/>
    <mergeCell ref="A36:A37"/>
    <mergeCell ref="I36:J36"/>
    <mergeCell ref="K36:L36"/>
    <mergeCell ref="C36:D36"/>
    <mergeCell ref="E36:F36"/>
    <mergeCell ref="G36:H36"/>
    <mergeCell ref="D32:G32"/>
    <mergeCell ref="B34:C34"/>
    <mergeCell ref="B32:C32"/>
    <mergeCell ref="B33:C33"/>
    <mergeCell ref="D33:G33"/>
    <mergeCell ref="D34:G34"/>
    <mergeCell ref="G5:I5"/>
    <mergeCell ref="D1:K1"/>
    <mergeCell ref="E2:F2"/>
    <mergeCell ref="B4:M4"/>
    <mergeCell ref="N7:N8"/>
  </mergeCells>
  <conditionalFormatting sqref="B3">
    <cfRule type="expression" dxfId="7" priority="6">
      <formula>ISERROR($A$1)</formula>
    </cfRule>
  </conditionalFormatting>
  <conditionalFormatting sqref="N9:N11">
    <cfRule type="expression" dxfId="6" priority="5" stopIfTrue="1">
      <formula>N9&lt;&gt;"ОК"</formula>
    </cfRule>
  </conditionalFormatting>
  <conditionalFormatting sqref="N12">
    <cfRule type="expression" dxfId="5" priority="4" stopIfTrue="1">
      <formula>N12&lt;&gt;"ОК"</formula>
    </cfRule>
  </conditionalFormatting>
  <conditionalFormatting sqref="N13">
    <cfRule type="expression" dxfId="4" priority="3" stopIfTrue="1">
      <formula>N13&lt;&gt;"ОК"</formula>
    </cfRule>
  </conditionalFormatting>
  <conditionalFormatting sqref="N39">
    <cfRule type="expression" dxfId="3" priority="2" stopIfTrue="1">
      <formula>N39&lt;&gt;"ОК"</formula>
    </cfRule>
  </conditionalFormatting>
  <conditionalFormatting sqref="N40:N44">
    <cfRule type="expression" dxfId="2" priority="1" stopIfTrue="1">
      <formula>N40&lt;&gt;"ОК"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L8:M12 F8:I12 C25:I29 L25:M29 F16:I20 G40:L41 L47:M48 L16:M20 C16:D20 C8:D12 D47:I48">
      <formula1>AND($G$2&lt;&gt;0,$H$2&lt;&gt;0,$I$2&lt;&gt;0,$B$4&lt;&gt;0,$D$32&lt;&gt;0,$D$33&lt;&gt;0,$D$34&lt;&gt;0,ISNUMBER(C8),IF(ISERROR(SEARCH(",?",C8)),0,1)=0)</formula1>
    </dataValidation>
  </dataValidations>
  <hyperlinks>
    <hyperlink ref="G2" location="профосмотры!G3" display="профосмотры!G3"/>
    <hyperlink ref="H2" location="профосмотры!H3" display="профосмотры!H3"/>
    <hyperlink ref="I2" location="профосмотры!I3" display="профосмотры!I3"/>
    <hyperlink ref="B4:M4" location="профосмотры!C5" display="профосмотры!C5"/>
    <hyperlink ref="D32:G32" location="профосмотры!E21" display="профосмотры!E21"/>
    <hyperlink ref="D33:G33" location="профосмотры!E22" display="профосмотры!E22"/>
    <hyperlink ref="D34:G34" location="профосмотры!E23" display="профосмотры!E23"/>
  </hyperlinks>
  <pageMargins left="0.7" right="0.7" top="0.75" bottom="0.75" header="0.3" footer="0.3"/>
  <pageSetup paperSize="9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7030A0"/>
    <pageSetUpPr fitToPage="1"/>
  </sheetPr>
  <dimension ref="A1:Y20"/>
  <sheetViews>
    <sheetView zoomScale="85" zoomScaleNormal="85" workbookViewId="0">
      <selection activeCell="C14" sqref="C14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3.85546875" customWidth="1"/>
    <col min="6" max="6" width="12.7109375" customWidth="1"/>
    <col min="7" max="7" width="13.5703125" customWidth="1"/>
    <col min="8" max="8" width="16.140625" customWidth="1"/>
    <col min="9" max="9" width="15.5703125" customWidth="1"/>
    <col min="10" max="11" width="9.140625" customWidth="1"/>
    <col min="12" max="12" width="13.7109375" customWidth="1"/>
    <col min="13" max="13" width="13.28515625" customWidth="1"/>
  </cols>
  <sheetData>
    <row r="1" spans="1:25" s="3" customFormat="1" ht="45" customHeight="1" x14ac:dyDescent="0.3">
      <c r="A1" s="5" t="str">
        <f>IF(B1=TRUE,DATEVALUE(G2&amp;"."&amp;VLOOKUP(H2,Help!$H$1:$I$12,2,0)&amp;"."&amp;J2),"22.07.1966")</f>
        <v>22.07.1966</v>
      </c>
      <c r="B1" s="5" t="b">
        <f>AND(G2&lt;&gt;"",H2&lt;&gt;"",J2&lt;&gt;"")</f>
        <v>0</v>
      </c>
      <c r="C1" s="1"/>
      <c r="D1" s="167" t="s">
        <v>211</v>
      </c>
      <c r="E1" s="167"/>
      <c r="F1" s="167"/>
      <c r="G1" s="167"/>
      <c r="H1" s="167"/>
      <c r="I1" s="167"/>
      <c r="J1" s="167"/>
      <c r="K1" s="167"/>
      <c r="L1" s="2"/>
      <c r="M1" s="1"/>
    </row>
    <row r="2" spans="1:25" s="3" customFormat="1" ht="18.75" x14ac:dyDescent="0.3">
      <c r="B2" s="1"/>
      <c r="C2" s="1"/>
      <c r="D2" s="4"/>
      <c r="E2" s="170" t="s">
        <v>0</v>
      </c>
      <c r="F2" s="170"/>
      <c r="G2" s="110">
        <f>IF(профосмотры!$G$3&lt;&gt;"",профосмотры!$G$3,"")</f>
        <v>26</v>
      </c>
      <c r="H2" s="110" t="str">
        <f>IF(профосмотры!$H$3&lt;&gt;"",профосмотры!$H$3,"")</f>
        <v>сентября</v>
      </c>
      <c r="I2" s="110">
        <f>IF(профосмотры!$I$3&lt;&gt;"",профосмотры!$I$3,"")</f>
        <v>2024</v>
      </c>
      <c r="J2" s="79"/>
      <c r="K2" s="4"/>
      <c r="L2" s="2"/>
      <c r="M2" s="1"/>
    </row>
    <row r="3" spans="1:25" s="65" customFormat="1" ht="24" thickBot="1" x14ac:dyDescent="0.4">
      <c r="B3" s="64"/>
      <c r="C3" s="64"/>
      <c r="D3" s="64"/>
      <c r="E3" s="64"/>
      <c r="F3" s="64"/>
      <c r="G3" s="67" t="s">
        <v>1</v>
      </c>
      <c r="H3" s="67" t="s">
        <v>2</v>
      </c>
      <c r="I3" s="67" t="s">
        <v>3</v>
      </c>
      <c r="J3" s="64"/>
      <c r="K3" s="64"/>
      <c r="L3" s="64"/>
      <c r="M3" s="64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s="3" customFormat="1" ht="15.75" thickBot="1" x14ac:dyDescent="0.3">
      <c r="B4" s="220" t="str">
        <f>IF(профосмотры!$C$5&lt;&gt;"",профосмотры!$C$5,"")</f>
        <v>ГБУЗ «Нехаевская ЦРБ»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32"/>
    </row>
    <row r="5" spans="1:25" s="3" customFormat="1" ht="15.75" x14ac:dyDescent="0.25">
      <c r="G5" s="231" t="s">
        <v>4</v>
      </c>
      <c r="H5" s="231"/>
      <c r="I5" s="231"/>
    </row>
    <row r="7" spans="1:25" ht="90" x14ac:dyDescent="0.25">
      <c r="A7" s="54" t="s">
        <v>195</v>
      </c>
      <c r="B7" s="55" t="s">
        <v>66</v>
      </c>
      <c r="C7" s="54" t="s">
        <v>67</v>
      </c>
      <c r="D7" s="54" t="s">
        <v>135</v>
      </c>
      <c r="E7" s="54" t="s">
        <v>69</v>
      </c>
      <c r="F7" s="54" t="s">
        <v>135</v>
      </c>
      <c r="G7" s="54" t="s">
        <v>196</v>
      </c>
      <c r="H7" s="54" t="s">
        <v>197</v>
      </c>
      <c r="I7" s="54" t="s">
        <v>198</v>
      </c>
      <c r="J7" s="54" t="s">
        <v>31</v>
      </c>
      <c r="K7" s="54" t="s">
        <v>32</v>
      </c>
      <c r="L7" s="54" t="s">
        <v>199</v>
      </c>
      <c r="M7" s="54" t="s">
        <v>200</v>
      </c>
    </row>
    <row r="8" spans="1:25" x14ac:dyDescent="0.25">
      <c r="A8" s="57">
        <v>1</v>
      </c>
      <c r="B8" s="56" t="s">
        <v>212</v>
      </c>
      <c r="C8" s="57" t="s">
        <v>77</v>
      </c>
      <c r="D8" s="57" t="s">
        <v>78</v>
      </c>
      <c r="E8" s="57" t="s">
        <v>79</v>
      </c>
      <c r="F8" s="57" t="s">
        <v>80</v>
      </c>
      <c r="G8" s="57" t="s">
        <v>81</v>
      </c>
      <c r="H8" s="57" t="s">
        <v>82</v>
      </c>
      <c r="I8" s="57" t="s">
        <v>83</v>
      </c>
      <c r="J8" s="57" t="s">
        <v>84</v>
      </c>
      <c r="K8" s="57" t="s">
        <v>85</v>
      </c>
      <c r="L8" s="57" t="s">
        <v>86</v>
      </c>
      <c r="M8" s="57" t="s">
        <v>87</v>
      </c>
    </row>
    <row r="9" spans="1:25" ht="30" x14ac:dyDescent="0.25">
      <c r="A9" s="24" t="s">
        <v>202</v>
      </c>
      <c r="B9" s="24" t="s">
        <v>203</v>
      </c>
      <c r="C9" s="41">
        <f>профосмотры!C27+'2510-2511 -Дети сироты'!C25</f>
        <v>1380</v>
      </c>
      <c r="D9" s="41">
        <f>профосмотры!D27+'2510-2511 -Дети сироты'!D25</f>
        <v>1380</v>
      </c>
      <c r="E9" s="41">
        <f>профосмотры!E27+'2510-2511 -Дети сироты'!E25</f>
        <v>1316</v>
      </c>
      <c r="F9" s="41">
        <f>профосмотры!F27+'2510-2511 -Дети сироты'!F25</f>
        <v>1316</v>
      </c>
      <c r="G9" s="41">
        <f>профосмотры!G27+'2510-2511 -Дети сироты'!G25</f>
        <v>25</v>
      </c>
      <c r="H9" s="41">
        <f>профосмотры!H27+'2510-2511 -Дети сироты'!H25</f>
        <v>1221</v>
      </c>
      <c r="I9" s="41">
        <f>профосмотры!I27+'2510-2511 -Дети сироты'!I25</f>
        <v>48</v>
      </c>
      <c r="J9" s="97" t="str">
        <f>'2510-2511 -Дети сироты'!J25</f>
        <v>Х</v>
      </c>
      <c r="K9" s="97" t="str">
        <f>'2510-2511 -Дети сироты'!K25</f>
        <v>Х</v>
      </c>
      <c r="L9" s="41">
        <f>профосмотры!L27+'2510-2511 -Дети сироты'!L25</f>
        <v>22</v>
      </c>
      <c r="M9" s="41">
        <f>профосмотры!M27+'2510-2511 -Дети сироты'!M25</f>
        <v>0</v>
      </c>
    </row>
    <row r="10" spans="1:25" x14ac:dyDescent="0.25">
      <c r="A10" s="24" t="s">
        <v>205</v>
      </c>
      <c r="B10" s="24" t="s">
        <v>45</v>
      </c>
      <c r="C10" s="41">
        <f>профосмотры!C28+'2510-2511 -Дети сироты'!C26</f>
        <v>67</v>
      </c>
      <c r="D10" s="41">
        <f>профосмотры!D28+'2510-2511 -Дети сироты'!D26</f>
        <v>67</v>
      </c>
      <c r="E10" s="41">
        <f>профосмотры!E28+'2510-2511 -Дети сироты'!E26</f>
        <v>67</v>
      </c>
      <c r="F10" s="41">
        <f>профосмотры!F28+'2510-2511 -Дети сироты'!F26</f>
        <v>67</v>
      </c>
      <c r="G10" s="41">
        <f>профосмотры!G28+'2510-2511 -Дети сироты'!G26</f>
        <v>0</v>
      </c>
      <c r="H10" s="41">
        <f>профосмотры!H28+'2510-2511 -Дети сироты'!H26</f>
        <v>66</v>
      </c>
      <c r="I10" s="41">
        <f>профосмотры!I28+'2510-2511 -Дети сироты'!I26</f>
        <v>1</v>
      </c>
      <c r="J10" s="97" t="str">
        <f>'2510-2511 -Дети сироты'!J26</f>
        <v>Х</v>
      </c>
      <c r="K10" s="97" t="str">
        <f>'2510-2511 -Дети сироты'!K26</f>
        <v>Х</v>
      </c>
      <c r="L10" s="41">
        <f>профосмотры!L28+'2510-2511 -Дети сироты'!L26</f>
        <v>0</v>
      </c>
      <c r="M10" s="41">
        <f>профосмотры!M28+'2510-2511 -Дети сироты'!M26</f>
        <v>0</v>
      </c>
    </row>
    <row r="11" spans="1:25" x14ac:dyDescent="0.25">
      <c r="A11" s="24" t="s">
        <v>207</v>
      </c>
      <c r="B11" s="24" t="s">
        <v>48</v>
      </c>
      <c r="C11" s="41">
        <f>профосмотры!C29+'2510-2511 -Дети сироты'!C27</f>
        <v>381</v>
      </c>
      <c r="D11" s="41">
        <f>профосмотры!D29+'2510-2511 -Дети сироты'!D27</f>
        <v>381</v>
      </c>
      <c r="E11" s="41">
        <f>профосмотры!E29+'2510-2511 -Дети сироты'!E27</f>
        <v>381</v>
      </c>
      <c r="F11" s="41">
        <f>профосмотры!F29+'2510-2511 -Дети сироты'!F27</f>
        <v>381</v>
      </c>
      <c r="G11" s="41">
        <f>профосмотры!G29+'2510-2511 -Дети сироты'!G27</f>
        <v>13</v>
      </c>
      <c r="H11" s="41">
        <f>профосмотры!H29+'2510-2511 -Дети сироты'!H27</f>
        <v>333</v>
      </c>
      <c r="I11" s="41">
        <f>профосмотры!I29+'2510-2511 -Дети сироты'!I27</f>
        <v>28</v>
      </c>
      <c r="J11" s="97" t="str">
        <f>'2510-2511 -Дети сироты'!J27</f>
        <v>Х</v>
      </c>
      <c r="K11" s="97" t="str">
        <f>'2510-2511 -Дети сироты'!K27</f>
        <v>Х</v>
      </c>
      <c r="L11" s="41">
        <f>профосмотры!L29+'2510-2511 -Дети сироты'!L27</f>
        <v>7</v>
      </c>
      <c r="M11" s="41">
        <f>профосмотры!M29+'2510-2511 -Дети сироты'!M27</f>
        <v>0</v>
      </c>
    </row>
    <row r="12" spans="1:25" ht="30" x14ac:dyDescent="0.25">
      <c r="A12" s="24" t="s">
        <v>209</v>
      </c>
      <c r="B12" s="24" t="s">
        <v>50</v>
      </c>
      <c r="C12" s="41">
        <f>профосмотры!C30+'2510-2511 -Дети сироты'!C28</f>
        <v>192</v>
      </c>
      <c r="D12" s="41">
        <f>профосмотры!D30+'2510-2511 -Дети сироты'!D28</f>
        <v>192</v>
      </c>
      <c r="E12" s="41">
        <f>профосмотры!E30+'2510-2511 -Дети сироты'!E28</f>
        <v>192</v>
      </c>
      <c r="F12" s="41">
        <f>профосмотры!F30+'2510-2511 -Дети сироты'!F28</f>
        <v>192</v>
      </c>
      <c r="G12" s="41">
        <f>профосмотры!G30+'2510-2511 -Дети сироты'!G28</f>
        <v>8</v>
      </c>
      <c r="H12" s="41">
        <f>профосмотры!H30+'2510-2511 -Дети сироты'!H28</f>
        <v>166</v>
      </c>
      <c r="I12" s="41">
        <f>профосмотры!I30+'2510-2511 -Дети сироты'!I28</f>
        <v>14</v>
      </c>
      <c r="J12" s="97" t="str">
        <f>'2510-2511 -Дети сироты'!J28</f>
        <v>Х</v>
      </c>
      <c r="K12" s="97" t="str">
        <f>'2510-2511 -Дети сироты'!K28</f>
        <v>Х</v>
      </c>
      <c r="L12" s="41">
        <f>профосмотры!L30+'2510-2511 -Дети сироты'!L28</f>
        <v>4</v>
      </c>
      <c r="M12" s="41">
        <f>профосмотры!M30+'2510-2511 -Дети сироты'!M28</f>
        <v>0</v>
      </c>
    </row>
    <row r="13" spans="1:25" ht="30" x14ac:dyDescent="0.25">
      <c r="A13" s="24" t="s">
        <v>210</v>
      </c>
      <c r="B13" s="24" t="s">
        <v>92</v>
      </c>
      <c r="C13" s="41">
        <f>профосмотры!C31+'2510-2511 -Дети сироты'!C29</f>
        <v>1275</v>
      </c>
      <c r="D13" s="41">
        <f>профосмотры!D31+'2510-2511 -Дети сироты'!D29</f>
        <v>1275</v>
      </c>
      <c r="E13" s="41">
        <f>профосмотры!E31+'2510-2511 -Дети сироты'!E29</f>
        <v>1275</v>
      </c>
      <c r="F13" s="41">
        <f>профосмотры!F31+'2510-2511 -Дети сироты'!F29</f>
        <v>1275</v>
      </c>
      <c r="G13" s="41">
        <f>профосмотры!G31+'2510-2511 -Дети сироты'!G29</f>
        <v>28</v>
      </c>
      <c r="H13" s="41">
        <f>профосмотры!H31+'2510-2511 -Дети сироты'!H29</f>
        <v>1150</v>
      </c>
      <c r="I13" s="41">
        <f>профосмотры!I31+'2510-2511 -Дети сироты'!I29</f>
        <v>71</v>
      </c>
      <c r="J13" s="97" t="str">
        <f>'2510-2511 -Дети сироты'!J29</f>
        <v>Х</v>
      </c>
      <c r="K13" s="97" t="str">
        <f>'2510-2511 -Дети сироты'!K29</f>
        <v>Х</v>
      </c>
      <c r="L13" s="41">
        <f>профосмотры!L31+'2510-2511 -Дети сироты'!L29</f>
        <v>26</v>
      </c>
      <c r="M13" s="41">
        <f>профосмотры!M31+'2510-2511 -Дети сироты'!M29</f>
        <v>0</v>
      </c>
    </row>
    <row r="14" spans="1:25" ht="45" x14ac:dyDescent="0.25">
      <c r="A14" s="24" t="s">
        <v>332</v>
      </c>
      <c r="B14" s="24" t="s">
        <v>315</v>
      </c>
      <c r="C14" s="41">
        <f>'2510-2511 -Дети сироты'!C47</f>
        <v>0</v>
      </c>
      <c r="D14" s="41">
        <f>'2510-2511 -Дети сироты'!D47</f>
        <v>0</v>
      </c>
      <c r="E14" s="41">
        <f>'2510-2511 -Дети сироты'!E47</f>
        <v>0</v>
      </c>
      <c r="F14" s="41">
        <f>'2510-2511 -Дети сироты'!F47</f>
        <v>0</v>
      </c>
      <c r="G14" s="41">
        <f>'2510-2511 -Дети сироты'!G47</f>
        <v>0</v>
      </c>
      <c r="H14" s="41">
        <f>'2510-2511 -Дети сироты'!H47</f>
        <v>0</v>
      </c>
      <c r="I14" s="41">
        <f>'2510-2511 -Дети сироты'!I47</f>
        <v>0</v>
      </c>
      <c r="J14" s="97" t="str">
        <f>'2510-2511 -Дети сироты'!J47</f>
        <v>Х</v>
      </c>
      <c r="K14" s="97" t="str">
        <f>'2510-2511 -Дети сироты'!K47</f>
        <v>Х</v>
      </c>
      <c r="L14" s="41">
        <f>'2510-2511 -Дети сироты'!L47</f>
        <v>0</v>
      </c>
      <c r="M14" s="41">
        <f>'2510-2511 -Дети сироты'!M47</f>
        <v>0</v>
      </c>
    </row>
    <row r="15" spans="1:25" ht="30" x14ac:dyDescent="0.25">
      <c r="A15" s="24" t="s">
        <v>333</v>
      </c>
      <c r="B15" s="24" t="s">
        <v>316</v>
      </c>
      <c r="C15" s="41">
        <f>'2510-2511 -Дети сироты'!C48</f>
        <v>35</v>
      </c>
      <c r="D15" s="41">
        <f>'2510-2511 -Дети сироты'!D48</f>
        <v>35</v>
      </c>
      <c r="E15" s="41">
        <f>'2510-2511 -Дети сироты'!E48</f>
        <v>35</v>
      </c>
      <c r="F15" s="41">
        <f>'2510-2511 -Дети сироты'!F48</f>
        <v>35</v>
      </c>
      <c r="G15" s="41">
        <f>'2510-2511 -Дети сироты'!G48</f>
        <v>2</v>
      </c>
      <c r="H15" s="41">
        <f>'2510-2511 -Дети сироты'!H48</f>
        <v>27</v>
      </c>
      <c r="I15" s="41">
        <f>'2510-2511 -Дети сироты'!I48</f>
        <v>5</v>
      </c>
      <c r="J15" s="97" t="str">
        <f>'2510-2511 -Дети сироты'!J48</f>
        <v>Х</v>
      </c>
      <c r="K15" s="97" t="str">
        <f>'2510-2511 -Дети сироты'!K48</f>
        <v>Х</v>
      </c>
      <c r="L15" s="41">
        <f>'2510-2511 -Дети сироты'!L48</f>
        <v>1</v>
      </c>
      <c r="M15" s="41">
        <f>'2510-2511 -Дети сироты'!M48</f>
        <v>0</v>
      </c>
    </row>
    <row r="17" spans="2:7" ht="15.75" thickBot="1" x14ac:dyDescent="0.3"/>
    <row r="18" spans="2:7" ht="15.75" x14ac:dyDescent="0.25">
      <c r="B18" s="196" t="s">
        <v>59</v>
      </c>
      <c r="C18" s="197"/>
      <c r="D18" s="198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E18" s="199"/>
      <c r="F18" s="200"/>
      <c r="G18" s="201"/>
    </row>
    <row r="19" spans="2:7" ht="15.75" x14ac:dyDescent="0.25">
      <c r="B19" s="190" t="s">
        <v>61</v>
      </c>
      <c r="C19" s="191"/>
      <c r="D19" s="192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E19" s="193"/>
      <c r="F19" s="194"/>
      <c r="G19" s="195"/>
    </row>
    <row r="20" spans="2:7" ht="16.5" thickBot="1" x14ac:dyDescent="0.3">
      <c r="B20" s="212" t="s">
        <v>63</v>
      </c>
      <c r="C20" s="213"/>
      <c r="D20" s="214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E20" s="215"/>
      <c r="F20" s="216"/>
      <c r="G20" s="217"/>
    </row>
  </sheetData>
  <sheetProtection password="DB70" sheet="1" objects="1" scenarios="1" autoFilter="0"/>
  <mergeCells count="10">
    <mergeCell ref="D1:K1"/>
    <mergeCell ref="E2:F2"/>
    <mergeCell ref="B4:M4"/>
    <mergeCell ref="B20:C20"/>
    <mergeCell ref="G5:I5"/>
    <mergeCell ref="B18:C18"/>
    <mergeCell ref="B19:C19"/>
    <mergeCell ref="D18:G18"/>
    <mergeCell ref="D19:G19"/>
    <mergeCell ref="D20:G20"/>
  </mergeCells>
  <conditionalFormatting sqref="B3">
    <cfRule type="expression" dxfId="1" priority="1">
      <formula>ISERROR($A$1)</formula>
    </cfRule>
  </conditionalFormatting>
  <hyperlinks>
    <hyperlink ref="G2" location="профосмотры!G3" display="профосмотры!G3"/>
    <hyperlink ref="H2" location="профосмотры!H3" display="профосмотры!H3"/>
    <hyperlink ref="I2" location="профосмотры!I3" display="профосмотры!I3"/>
    <hyperlink ref="B4:M4" location="профосмотры!C5" display="профосмотры!C5"/>
    <hyperlink ref="D18:G18" location="профосмотры!E21" display="профосмотры!E21"/>
    <hyperlink ref="D19:G19" location="профосмотры!E22" display="профосмотры!E22"/>
    <hyperlink ref="D20:G20" location="профосмотры!E23" display="профосмотры!E23"/>
  </hyperlink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7030A0"/>
    <pageSetUpPr fitToPage="1"/>
  </sheetPr>
  <dimension ref="A1:Y16"/>
  <sheetViews>
    <sheetView zoomScale="85" zoomScaleNormal="85" workbookViewId="0">
      <selection activeCell="C9" sqref="C9"/>
    </sheetView>
  </sheetViews>
  <sheetFormatPr defaultRowHeight="15" x14ac:dyDescent="0.25"/>
  <cols>
    <col min="2" max="2" width="28.28515625" customWidth="1"/>
    <col min="3" max="8" width="15.42578125" customWidth="1"/>
    <col min="9" max="9" width="11" customWidth="1"/>
    <col min="10" max="10" width="12.140625" customWidth="1"/>
    <col min="12" max="12" width="14.7109375" customWidth="1"/>
  </cols>
  <sheetData>
    <row r="1" spans="1:25" s="3" customFormat="1" ht="45" customHeight="1" x14ac:dyDescent="0.3">
      <c r="A1" s="5" t="str">
        <f>IF(B1=TRUE,DATEVALUE(G2&amp;"."&amp;VLOOKUP(H2,Help!$H$1:$I$12,2,0)&amp;"."&amp;J2),"22.07.1966")</f>
        <v>22.07.1966</v>
      </c>
      <c r="B1" s="5" t="b">
        <f>AND(G2&lt;&gt;"",H2&lt;&gt;"",J2&lt;&gt;"")</f>
        <v>0</v>
      </c>
      <c r="C1" s="1"/>
      <c r="D1" s="167" t="s">
        <v>213</v>
      </c>
      <c r="E1" s="167"/>
      <c r="F1" s="167"/>
      <c r="G1" s="167"/>
      <c r="H1" s="167"/>
      <c r="I1" s="167"/>
      <c r="J1" s="167"/>
      <c r="K1" s="167"/>
      <c r="L1" s="2"/>
      <c r="M1" s="1"/>
    </row>
    <row r="2" spans="1:25" s="3" customFormat="1" ht="18.75" x14ac:dyDescent="0.3">
      <c r="B2" s="1"/>
      <c r="C2" s="1"/>
      <c r="D2" s="4"/>
      <c r="E2" s="170" t="s">
        <v>0</v>
      </c>
      <c r="F2" s="170"/>
      <c r="G2" s="110">
        <f>IF(профосмотры!$G$3&lt;&gt;"",профосмотры!$G$3,"")</f>
        <v>26</v>
      </c>
      <c r="H2" s="110" t="str">
        <f>IF(профосмотры!$H$3&lt;&gt;"",профосмотры!$H$3,"")</f>
        <v>сентября</v>
      </c>
      <c r="I2" s="110">
        <f>IF(профосмотры!$I$3&lt;&gt;"",профосмотры!$I$3,"")</f>
        <v>2024</v>
      </c>
      <c r="J2" s="79"/>
      <c r="K2" s="4"/>
      <c r="L2" s="2"/>
      <c r="M2" s="1"/>
    </row>
    <row r="3" spans="1:25" s="65" customFormat="1" ht="24" thickBot="1" x14ac:dyDescent="0.4">
      <c r="B3" s="64"/>
      <c r="C3" s="64"/>
      <c r="D3" s="64"/>
      <c r="E3" s="64"/>
      <c r="F3" s="64"/>
      <c r="G3" s="67" t="s">
        <v>1</v>
      </c>
      <c r="H3" s="67" t="s">
        <v>2</v>
      </c>
      <c r="I3" s="67" t="s">
        <v>3</v>
      </c>
      <c r="J3" s="64"/>
      <c r="K3" s="64"/>
      <c r="L3" s="64"/>
      <c r="M3" s="64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s="3" customFormat="1" ht="21" customHeight="1" thickBot="1" x14ac:dyDescent="0.3">
      <c r="B4" s="220" t="str">
        <f>IF(профосмотры!$C$5&lt;&gt;"",профосмотры!$C$5,"")</f>
        <v>ГБУЗ «Нехаевская ЦРБ»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32"/>
    </row>
    <row r="5" spans="1:25" s="3" customFormat="1" ht="24.75" customHeight="1" x14ac:dyDescent="0.25">
      <c r="B5" s="222" t="s">
        <v>4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25" ht="15.75" customHeight="1" x14ac:dyDescent="0.25">
      <c r="C6" s="210" t="s">
        <v>67</v>
      </c>
      <c r="D6" s="210"/>
      <c r="E6" s="210" t="s">
        <v>69</v>
      </c>
      <c r="F6" s="210"/>
      <c r="G6" s="210" t="s">
        <v>286</v>
      </c>
      <c r="H6" s="210"/>
      <c r="I6" s="187" t="s">
        <v>275</v>
      </c>
      <c r="J6" s="187"/>
      <c r="K6" s="187" t="s">
        <v>276</v>
      </c>
      <c r="L6" s="187"/>
    </row>
    <row r="7" spans="1:25" ht="47.25" x14ac:dyDescent="0.25">
      <c r="A7" s="24"/>
      <c r="B7" s="29" t="s">
        <v>288</v>
      </c>
      <c r="C7" s="94" t="s">
        <v>20</v>
      </c>
      <c r="D7" s="94" t="s">
        <v>135</v>
      </c>
      <c r="E7" s="94" t="s">
        <v>20</v>
      </c>
      <c r="F7" s="94" t="s">
        <v>135</v>
      </c>
      <c r="G7" s="94" t="s">
        <v>20</v>
      </c>
      <c r="H7" s="94" t="s">
        <v>135</v>
      </c>
      <c r="I7" s="93" t="s">
        <v>277</v>
      </c>
      <c r="J7" s="93" t="s">
        <v>21</v>
      </c>
      <c r="K7" s="93" t="s">
        <v>277</v>
      </c>
      <c r="L7" s="93" t="s">
        <v>21</v>
      </c>
    </row>
    <row r="8" spans="1:25" x14ac:dyDescent="0.25">
      <c r="A8" s="24" t="s">
        <v>136</v>
      </c>
      <c r="B8" s="73" t="s">
        <v>212</v>
      </c>
      <c r="C8" s="57" t="s">
        <v>77</v>
      </c>
      <c r="D8" s="57" t="s">
        <v>78</v>
      </c>
      <c r="E8" s="57" t="s">
        <v>79</v>
      </c>
      <c r="F8" s="57" t="s">
        <v>80</v>
      </c>
      <c r="G8" s="57" t="s">
        <v>81</v>
      </c>
      <c r="H8" s="57" t="s">
        <v>82</v>
      </c>
      <c r="I8" s="57" t="s">
        <v>83</v>
      </c>
      <c r="J8" s="57" t="s">
        <v>84</v>
      </c>
      <c r="K8" s="57" t="s">
        <v>85</v>
      </c>
      <c r="L8" s="57" t="s">
        <v>86</v>
      </c>
    </row>
    <row r="9" spans="1:25" x14ac:dyDescent="0.25">
      <c r="A9" s="24" t="s">
        <v>202</v>
      </c>
      <c r="B9" s="24" t="s">
        <v>138</v>
      </c>
      <c r="C9" s="41">
        <f>'15-17 лет'!B31+'2510-2511 -Дети сироты'!C39</f>
        <v>381</v>
      </c>
      <c r="D9" s="41">
        <f>'15-17 лет'!C31+'2510-2511 -Дети сироты'!D39</f>
        <v>381</v>
      </c>
      <c r="E9" s="41">
        <f>'15-17 лет'!D31+'2510-2511 -Дети сироты'!E39</f>
        <v>381</v>
      </c>
      <c r="F9" s="41">
        <f>'15-17 лет'!E31+'2510-2511 -Дети сироты'!F39</f>
        <v>381</v>
      </c>
      <c r="G9" s="41">
        <f>'15-17 лет'!F31+'2510-2511 -Дети сироты'!G39</f>
        <v>4</v>
      </c>
      <c r="H9" s="41">
        <f>'15-17 лет'!G31+'2510-2511 -Дети сироты'!H39</f>
        <v>4</v>
      </c>
      <c r="I9" s="41">
        <f>'15-17 лет'!H31+'2510-2511 -Дети сироты'!I39</f>
        <v>0</v>
      </c>
      <c r="J9" s="41">
        <f>'15-17 лет'!I31+'2510-2511 -Дети сироты'!J39</f>
        <v>0</v>
      </c>
      <c r="K9" s="41">
        <f>'15-17 лет'!J31+'2510-2511 -Дети сироты'!K39</f>
        <v>0</v>
      </c>
      <c r="L9" s="41">
        <f>'15-17 лет'!K31+'2510-2511 -Дети сироты'!L39</f>
        <v>0</v>
      </c>
    </row>
    <row r="10" spans="1:25" ht="30" x14ac:dyDescent="0.25">
      <c r="A10" s="24" t="s">
        <v>214</v>
      </c>
      <c r="B10" s="24" t="s">
        <v>139</v>
      </c>
      <c r="C10" s="41">
        <f>'15-17 лет'!B32+'2510-2511 -Дети сироты'!C40</f>
        <v>192</v>
      </c>
      <c r="D10" s="41">
        <f>'15-17 лет'!C32+'2510-2511 -Дети сироты'!D40</f>
        <v>192</v>
      </c>
      <c r="E10" s="41">
        <f>'15-17 лет'!D32+'2510-2511 -Дети сироты'!E40</f>
        <v>192</v>
      </c>
      <c r="F10" s="41">
        <f>'15-17 лет'!E32+'2510-2511 -Дети сироты'!F40</f>
        <v>192</v>
      </c>
      <c r="G10" s="41">
        <f>'15-17 лет'!F32+'2510-2511 -Дети сироты'!G40</f>
        <v>1</v>
      </c>
      <c r="H10" s="41">
        <f>'15-17 лет'!G32+'2510-2511 -Дети сироты'!H40</f>
        <v>1</v>
      </c>
      <c r="I10" s="41">
        <f>'15-17 лет'!H32+'2510-2511 -Дети сироты'!I40</f>
        <v>0</v>
      </c>
      <c r="J10" s="41">
        <f>'15-17 лет'!I32+'2510-2511 -Дети сироты'!J40</f>
        <v>0</v>
      </c>
      <c r="K10" s="41">
        <f>'15-17 лет'!J32+'2510-2511 -Дети сироты'!K40</f>
        <v>0</v>
      </c>
      <c r="L10" s="41">
        <f>'15-17 лет'!K32+'2510-2511 -Дети сироты'!L40</f>
        <v>0</v>
      </c>
    </row>
    <row r="11" spans="1:25" ht="30" x14ac:dyDescent="0.25">
      <c r="A11" s="24" t="s">
        <v>215</v>
      </c>
      <c r="B11" s="24" t="s">
        <v>140</v>
      </c>
      <c r="C11" s="41">
        <f>'15-17 лет'!B33+'2510-2511 -Дети сироты'!C41</f>
        <v>189</v>
      </c>
      <c r="D11" s="41">
        <f>'15-17 лет'!C33+'2510-2511 -Дети сироты'!D41</f>
        <v>189</v>
      </c>
      <c r="E11" s="41">
        <f>'15-17 лет'!D33+'2510-2511 -Дети сироты'!E41</f>
        <v>189</v>
      </c>
      <c r="F11" s="41">
        <f>'15-17 лет'!E33+'2510-2511 -Дети сироты'!F41</f>
        <v>189</v>
      </c>
      <c r="G11" s="41">
        <f>'15-17 лет'!F33+'2510-2511 -Дети сироты'!G41</f>
        <v>3</v>
      </c>
      <c r="H11" s="41">
        <f>'15-17 лет'!G33+'2510-2511 -Дети сироты'!H41</f>
        <v>3</v>
      </c>
      <c r="I11" s="41">
        <f>'15-17 лет'!H33+'2510-2511 -Дети сироты'!I41</f>
        <v>0</v>
      </c>
      <c r="J11" s="41">
        <f>'15-17 лет'!I33+'2510-2511 -Дети сироты'!J41</f>
        <v>0</v>
      </c>
      <c r="K11" s="41">
        <f>'15-17 лет'!J33+'2510-2511 -Дети сироты'!K41</f>
        <v>0</v>
      </c>
      <c r="L11" s="41">
        <f>'15-17 лет'!K33+'2510-2511 -Дети сироты'!L41</f>
        <v>0</v>
      </c>
    </row>
    <row r="13" spans="1:25" ht="15.75" thickBot="1" x14ac:dyDescent="0.3"/>
    <row r="14" spans="1:25" ht="15.75" x14ac:dyDescent="0.25">
      <c r="B14" s="196" t="s">
        <v>59</v>
      </c>
      <c r="C14" s="197"/>
      <c r="D14" s="198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E14" s="199"/>
      <c r="F14" s="200"/>
      <c r="G14" s="201"/>
    </row>
    <row r="15" spans="1:25" ht="15.75" x14ac:dyDescent="0.25">
      <c r="B15" s="190" t="s">
        <v>61</v>
      </c>
      <c r="C15" s="191"/>
      <c r="D15" s="192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E15" s="193"/>
      <c r="F15" s="194"/>
      <c r="G15" s="195"/>
    </row>
    <row r="16" spans="1:25" ht="16.5" thickBot="1" x14ac:dyDescent="0.3">
      <c r="B16" s="212" t="s">
        <v>63</v>
      </c>
      <c r="C16" s="213"/>
      <c r="D16" s="214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E16" s="215"/>
      <c r="F16" s="216"/>
      <c r="G16" s="217"/>
    </row>
  </sheetData>
  <sheetProtection password="DB70" sheet="1" objects="1" scenarios="1" autoFilter="0"/>
  <mergeCells count="15">
    <mergeCell ref="D1:K1"/>
    <mergeCell ref="E2:F2"/>
    <mergeCell ref="B4:M4"/>
    <mergeCell ref="B14:C14"/>
    <mergeCell ref="I6:J6"/>
    <mergeCell ref="K6:L6"/>
    <mergeCell ref="C6:D6"/>
    <mergeCell ref="E6:F6"/>
    <mergeCell ref="G6:H6"/>
    <mergeCell ref="B15:C15"/>
    <mergeCell ref="B16:C16"/>
    <mergeCell ref="B5:M5"/>
    <mergeCell ref="D14:G14"/>
    <mergeCell ref="D15:G15"/>
    <mergeCell ref="D16:G16"/>
  </mergeCells>
  <conditionalFormatting sqref="B3">
    <cfRule type="expression" dxfId="0" priority="1">
      <formula>ISERROR($A$1)</formula>
    </cfRule>
  </conditionalFormatting>
  <hyperlinks>
    <hyperlink ref="G2" location="профосмотры!G3" display="профосмотры!G3"/>
    <hyperlink ref="H2" location="профосмотры!H3" display="профосмотры!H3"/>
    <hyperlink ref="I2" location="профосмотры!I3" display="профосмотры!I3"/>
    <hyperlink ref="B4:M4" location="профосмотры!C5" display="профосмотры!C5"/>
    <hyperlink ref="D14:G14" location="профосмотры!E21" display="профосмотры!E21"/>
    <hyperlink ref="D15:G15" location="профосмотры!E22" display="профосмотры!E22"/>
    <hyperlink ref="D16:G16" location="профосмотры!E23" display="профосмотры!E23"/>
  </hyperlinks>
  <pageMargins left="0.7" right="0.7" top="0.75" bottom="0.75" header="0.3" footer="0.3"/>
  <pageSetup paperSize="9" scale="7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7030A0"/>
  </sheetPr>
  <dimension ref="A1:T48"/>
  <sheetViews>
    <sheetView workbookViewId="0">
      <selection activeCell="V16" sqref="V16"/>
    </sheetView>
  </sheetViews>
  <sheetFormatPr defaultRowHeight="15" x14ac:dyDescent="0.25"/>
  <cols>
    <col min="15" max="15" width="9.140625" customWidth="1"/>
    <col min="16" max="16" width="55.85546875" bestFit="1" customWidth="1"/>
    <col min="17" max="17" width="24.7109375" bestFit="1" customWidth="1"/>
    <col min="18" max="18" width="27.7109375" bestFit="1" customWidth="1"/>
    <col min="19" max="19" width="14.28515625" bestFit="1" customWidth="1"/>
    <col min="20" max="20" width="5" bestFit="1" customWidth="1"/>
    <col min="21" max="29" width="9.140625" customWidth="1"/>
  </cols>
  <sheetData>
    <row r="1" spans="1:20" ht="30" x14ac:dyDescent="0.25">
      <c r="A1" t="s">
        <v>216</v>
      </c>
      <c r="G1">
        <v>1</v>
      </c>
      <c r="H1" t="s">
        <v>217</v>
      </c>
      <c r="I1">
        <v>1</v>
      </c>
      <c r="J1">
        <v>2020</v>
      </c>
      <c r="L1" t="s">
        <v>274</v>
      </c>
      <c r="P1" s="73" t="s">
        <v>293</v>
      </c>
      <c r="Q1" s="73" t="s">
        <v>17</v>
      </c>
      <c r="R1" s="73" t="s">
        <v>294</v>
      </c>
      <c r="S1" s="73" t="s">
        <v>48</v>
      </c>
    </row>
    <row r="2" spans="1:20" x14ac:dyDescent="0.25">
      <c r="A2" t="s">
        <v>218</v>
      </c>
      <c r="G2">
        <v>2</v>
      </c>
      <c r="H2" t="s">
        <v>219</v>
      </c>
      <c r="I2">
        <v>2</v>
      </c>
      <c r="J2">
        <v>2021</v>
      </c>
      <c r="P2" s="104" t="s">
        <v>216</v>
      </c>
      <c r="Q2" s="104">
        <v>15958</v>
      </c>
      <c r="R2" s="104">
        <f>Q2-S2</f>
        <v>12535</v>
      </c>
      <c r="S2" s="105">
        <v>3423</v>
      </c>
      <c r="T2" s="108">
        <v>114</v>
      </c>
    </row>
    <row r="3" spans="1:20" x14ac:dyDescent="0.25">
      <c r="A3" t="s">
        <v>220</v>
      </c>
      <c r="G3">
        <v>3</v>
      </c>
      <c r="H3" t="s">
        <v>221</v>
      </c>
      <c r="I3">
        <v>3</v>
      </c>
      <c r="J3">
        <v>2022</v>
      </c>
      <c r="P3" s="104" t="s">
        <v>218</v>
      </c>
      <c r="Q3" s="104"/>
      <c r="R3" s="104">
        <f t="shared" ref="R3:R47" si="0">Q3-S3</f>
        <v>0</v>
      </c>
      <c r="S3" s="105"/>
      <c r="T3" s="109"/>
    </row>
    <row r="4" spans="1:20" x14ac:dyDescent="0.25">
      <c r="A4" t="s">
        <v>222</v>
      </c>
      <c r="G4">
        <v>4</v>
      </c>
      <c r="H4" t="s">
        <v>223</v>
      </c>
      <c r="I4">
        <v>4</v>
      </c>
      <c r="J4">
        <v>2023</v>
      </c>
      <c r="P4" s="104" t="s">
        <v>220</v>
      </c>
      <c r="Q4" s="104">
        <v>18157</v>
      </c>
      <c r="R4" s="104">
        <f t="shared" si="0"/>
        <v>15096</v>
      </c>
      <c r="S4" s="105">
        <v>3061</v>
      </c>
      <c r="T4" s="108">
        <v>123</v>
      </c>
    </row>
    <row r="5" spans="1:20" x14ac:dyDescent="0.25">
      <c r="A5" t="s">
        <v>224</v>
      </c>
      <c r="G5">
        <v>5</v>
      </c>
      <c r="H5" t="s">
        <v>225</v>
      </c>
      <c r="I5">
        <v>5</v>
      </c>
      <c r="J5">
        <v>2024</v>
      </c>
      <c r="P5" s="104" t="s">
        <v>222</v>
      </c>
      <c r="Q5" s="104">
        <v>5474</v>
      </c>
      <c r="R5" s="104">
        <f t="shared" si="0"/>
        <v>4568</v>
      </c>
      <c r="S5" s="105">
        <v>906</v>
      </c>
      <c r="T5" s="108">
        <v>39</v>
      </c>
    </row>
    <row r="6" spans="1:20" x14ac:dyDescent="0.25">
      <c r="A6" t="s">
        <v>226</v>
      </c>
      <c r="G6">
        <v>6</v>
      </c>
      <c r="H6" t="s">
        <v>227</v>
      </c>
      <c r="I6">
        <v>6</v>
      </c>
      <c r="J6">
        <v>2025</v>
      </c>
      <c r="P6" s="104" t="s">
        <v>224</v>
      </c>
      <c r="Q6" s="104"/>
      <c r="R6" s="104">
        <f t="shared" si="0"/>
        <v>0</v>
      </c>
      <c r="S6" s="105"/>
      <c r="T6" s="109"/>
    </row>
    <row r="7" spans="1:20" x14ac:dyDescent="0.25">
      <c r="A7" t="s">
        <v>228</v>
      </c>
      <c r="G7">
        <v>7</v>
      </c>
      <c r="H7" t="s">
        <v>229</v>
      </c>
      <c r="I7">
        <v>7</v>
      </c>
      <c r="J7">
        <v>2026</v>
      </c>
      <c r="P7" s="104" t="s">
        <v>226</v>
      </c>
      <c r="Q7" s="104">
        <v>16138</v>
      </c>
      <c r="R7" s="104">
        <f t="shared" si="0"/>
        <v>13558</v>
      </c>
      <c r="S7" s="105">
        <v>2580</v>
      </c>
      <c r="T7" s="108">
        <v>118</v>
      </c>
    </row>
    <row r="8" spans="1:20" x14ac:dyDescent="0.25">
      <c r="A8" t="s">
        <v>230</v>
      </c>
      <c r="G8">
        <v>8</v>
      </c>
      <c r="H8" t="s">
        <v>231</v>
      </c>
      <c r="I8">
        <v>8</v>
      </c>
      <c r="J8">
        <v>2027</v>
      </c>
      <c r="P8" s="104" t="s">
        <v>228</v>
      </c>
      <c r="Q8" s="104">
        <v>25552</v>
      </c>
      <c r="R8" s="104">
        <f t="shared" si="0"/>
        <v>21203</v>
      </c>
      <c r="S8" s="105">
        <v>4349</v>
      </c>
      <c r="T8" s="108">
        <v>241</v>
      </c>
    </row>
    <row r="9" spans="1:20" x14ac:dyDescent="0.25">
      <c r="A9" t="s">
        <v>232</v>
      </c>
      <c r="G9">
        <v>9</v>
      </c>
      <c r="H9" t="s">
        <v>233</v>
      </c>
      <c r="I9">
        <v>9</v>
      </c>
      <c r="J9">
        <v>2028</v>
      </c>
      <c r="P9" s="104" t="s">
        <v>230</v>
      </c>
      <c r="Q9" s="106">
        <v>24507</v>
      </c>
      <c r="R9" s="104">
        <f t="shared" si="0"/>
        <v>20315</v>
      </c>
      <c r="S9" s="105">
        <v>4192</v>
      </c>
      <c r="T9" s="108">
        <v>196</v>
      </c>
    </row>
    <row r="10" spans="1:20" x14ac:dyDescent="0.25">
      <c r="A10" t="s">
        <v>234</v>
      </c>
      <c r="G10">
        <v>10</v>
      </c>
      <c r="H10" t="s">
        <v>235</v>
      </c>
      <c r="I10">
        <v>10</v>
      </c>
      <c r="J10">
        <v>2029</v>
      </c>
      <c r="P10" s="105" t="s">
        <v>232</v>
      </c>
      <c r="Q10" s="107">
        <v>23470</v>
      </c>
      <c r="R10" s="104">
        <f t="shared" si="0"/>
        <v>20376</v>
      </c>
      <c r="S10" s="105">
        <v>3094</v>
      </c>
      <c r="T10" s="108">
        <v>156</v>
      </c>
    </row>
    <row r="11" spans="1:20" x14ac:dyDescent="0.25">
      <c r="A11" t="s">
        <v>236</v>
      </c>
      <c r="G11">
        <v>11</v>
      </c>
      <c r="H11" t="s">
        <v>237</v>
      </c>
      <c r="I11">
        <v>11</v>
      </c>
      <c r="J11">
        <v>2030</v>
      </c>
      <c r="P11" s="105" t="s">
        <v>234</v>
      </c>
      <c r="Q11" s="107">
        <v>21365</v>
      </c>
      <c r="R11" s="104">
        <f t="shared" si="0"/>
        <v>17702</v>
      </c>
      <c r="S11" s="105">
        <v>3663</v>
      </c>
      <c r="T11" s="108">
        <v>191</v>
      </c>
    </row>
    <row r="12" spans="1:20" x14ac:dyDescent="0.25">
      <c r="A12" t="s">
        <v>238</v>
      </c>
      <c r="G12">
        <v>12</v>
      </c>
      <c r="H12" t="s">
        <v>239</v>
      </c>
      <c r="I12">
        <v>12</v>
      </c>
      <c r="J12">
        <v>2031</v>
      </c>
      <c r="P12" s="105" t="s">
        <v>236</v>
      </c>
      <c r="Q12" s="107">
        <v>20262</v>
      </c>
      <c r="R12" s="104">
        <f t="shared" si="0"/>
        <v>17016</v>
      </c>
      <c r="S12" s="105">
        <v>3246</v>
      </c>
      <c r="T12" s="108">
        <v>120</v>
      </c>
    </row>
    <row r="13" spans="1:20" x14ac:dyDescent="0.25">
      <c r="A13" t="s">
        <v>240</v>
      </c>
      <c r="G13">
        <v>13</v>
      </c>
      <c r="P13" s="105" t="s">
        <v>238</v>
      </c>
      <c r="Q13" s="107">
        <v>33271</v>
      </c>
      <c r="R13" s="104">
        <f t="shared" si="0"/>
        <v>27486</v>
      </c>
      <c r="S13" s="105">
        <v>5785</v>
      </c>
      <c r="T13" s="108">
        <v>535</v>
      </c>
    </row>
    <row r="14" spans="1:20" x14ac:dyDescent="0.25">
      <c r="A14" t="s">
        <v>241</v>
      </c>
      <c r="G14">
        <v>14</v>
      </c>
      <c r="P14" s="105" t="s">
        <v>240</v>
      </c>
      <c r="Q14" s="107">
        <v>17546</v>
      </c>
      <c r="R14" s="104">
        <f t="shared" si="0"/>
        <v>14788</v>
      </c>
      <c r="S14" s="105">
        <v>2758</v>
      </c>
      <c r="T14" s="108">
        <v>180</v>
      </c>
    </row>
    <row r="15" spans="1:20" x14ac:dyDescent="0.25">
      <c r="A15" t="s">
        <v>242</v>
      </c>
      <c r="G15">
        <v>15</v>
      </c>
      <c r="P15" s="105" t="s">
        <v>241</v>
      </c>
      <c r="Q15" s="107">
        <v>2092</v>
      </c>
      <c r="R15" s="104">
        <f t="shared" si="0"/>
        <v>1673</v>
      </c>
      <c r="S15" s="105">
        <v>419</v>
      </c>
      <c r="T15" s="108">
        <v>43</v>
      </c>
    </row>
    <row r="16" spans="1:20" x14ac:dyDescent="0.25">
      <c r="A16" t="s">
        <v>243</v>
      </c>
      <c r="G16">
        <v>16</v>
      </c>
      <c r="P16" s="105" t="s">
        <v>242</v>
      </c>
      <c r="Q16" s="107">
        <v>4407</v>
      </c>
      <c r="R16" s="104">
        <f t="shared" si="0"/>
        <v>3586</v>
      </c>
      <c r="S16" s="105">
        <v>821</v>
      </c>
      <c r="T16" s="108">
        <v>60</v>
      </c>
    </row>
    <row r="17" spans="1:20" x14ac:dyDescent="0.25">
      <c r="A17" t="s">
        <v>244</v>
      </c>
      <c r="G17">
        <v>17</v>
      </c>
      <c r="P17" s="105" t="s">
        <v>243</v>
      </c>
      <c r="Q17" s="107">
        <v>11263</v>
      </c>
      <c r="R17" s="104">
        <f t="shared" si="0"/>
        <v>9257</v>
      </c>
      <c r="S17" s="105">
        <v>2006</v>
      </c>
      <c r="T17" s="108">
        <v>148</v>
      </c>
    </row>
    <row r="18" spans="1:20" x14ac:dyDescent="0.25">
      <c r="A18" t="s">
        <v>245</v>
      </c>
      <c r="G18">
        <v>18</v>
      </c>
      <c r="P18" s="105" t="s">
        <v>244</v>
      </c>
      <c r="Q18" s="107">
        <v>2048</v>
      </c>
      <c r="R18" s="104">
        <f t="shared" si="0"/>
        <v>1656</v>
      </c>
      <c r="S18" s="105">
        <v>392</v>
      </c>
      <c r="T18" s="108">
        <v>51</v>
      </c>
    </row>
    <row r="19" spans="1:20" x14ac:dyDescent="0.25">
      <c r="A19" t="s">
        <v>246</v>
      </c>
      <c r="G19">
        <v>19</v>
      </c>
      <c r="P19" s="105" t="s">
        <v>245</v>
      </c>
      <c r="Q19" s="107">
        <v>4278</v>
      </c>
      <c r="R19" s="104">
        <f t="shared" si="0"/>
        <v>3439</v>
      </c>
      <c r="S19" s="105">
        <v>839</v>
      </c>
      <c r="T19" s="108">
        <v>58</v>
      </c>
    </row>
    <row r="20" spans="1:20" x14ac:dyDescent="0.25">
      <c r="A20" t="s">
        <v>247</v>
      </c>
      <c r="G20">
        <v>20</v>
      </c>
      <c r="P20" s="105" t="s">
        <v>246</v>
      </c>
      <c r="Q20" s="107">
        <v>4088</v>
      </c>
      <c r="R20" s="104">
        <f t="shared" si="0"/>
        <v>3271</v>
      </c>
      <c r="S20" s="105">
        <v>817</v>
      </c>
      <c r="T20" s="108">
        <v>130</v>
      </c>
    </row>
    <row r="21" spans="1:20" x14ac:dyDescent="0.25">
      <c r="A21" t="s">
        <v>248</v>
      </c>
      <c r="G21">
        <v>21</v>
      </c>
      <c r="P21" s="105" t="s">
        <v>247</v>
      </c>
      <c r="Q21" s="107">
        <v>5767</v>
      </c>
      <c r="R21" s="104">
        <f t="shared" si="0"/>
        <v>4663</v>
      </c>
      <c r="S21" s="105">
        <v>1104</v>
      </c>
      <c r="T21" s="108">
        <v>151</v>
      </c>
    </row>
    <row r="22" spans="1:20" x14ac:dyDescent="0.25">
      <c r="A22" t="s">
        <v>249</v>
      </c>
      <c r="G22">
        <v>22</v>
      </c>
      <c r="P22" s="105" t="s">
        <v>248</v>
      </c>
      <c r="Q22" s="107">
        <v>5447</v>
      </c>
      <c r="R22" s="104">
        <f t="shared" si="0"/>
        <v>4436</v>
      </c>
      <c r="S22" s="105">
        <v>1011</v>
      </c>
      <c r="T22" s="108">
        <v>184</v>
      </c>
    </row>
    <row r="23" spans="1:20" x14ac:dyDescent="0.25">
      <c r="A23" t="s">
        <v>250</v>
      </c>
      <c r="G23">
        <v>23</v>
      </c>
      <c r="P23" s="105" t="s">
        <v>249</v>
      </c>
      <c r="Q23" s="107">
        <v>9211</v>
      </c>
      <c r="R23" s="104">
        <f t="shared" si="0"/>
        <v>7550</v>
      </c>
      <c r="S23" s="105">
        <v>1661</v>
      </c>
      <c r="T23" s="108">
        <v>133</v>
      </c>
    </row>
    <row r="24" spans="1:20" x14ac:dyDescent="0.25">
      <c r="A24" t="s">
        <v>251</v>
      </c>
      <c r="G24">
        <v>24</v>
      </c>
      <c r="P24" s="105" t="s">
        <v>250</v>
      </c>
      <c r="Q24" s="107">
        <v>22291</v>
      </c>
      <c r="R24" s="104">
        <f t="shared" si="0"/>
        <v>18130</v>
      </c>
      <c r="S24" s="105">
        <v>4161</v>
      </c>
      <c r="T24" s="108">
        <v>306</v>
      </c>
    </row>
    <row r="25" spans="1:20" x14ac:dyDescent="0.25">
      <c r="A25" t="s">
        <v>252</v>
      </c>
      <c r="G25">
        <v>25</v>
      </c>
      <c r="P25" s="105" t="s">
        <v>251</v>
      </c>
      <c r="Q25" s="107">
        <v>1927</v>
      </c>
      <c r="R25" s="104">
        <f t="shared" si="0"/>
        <v>1523</v>
      </c>
      <c r="S25" s="105">
        <v>404</v>
      </c>
      <c r="T25" s="108">
        <v>33</v>
      </c>
    </row>
    <row r="26" spans="1:20" x14ac:dyDescent="0.25">
      <c r="A26" t="s">
        <v>253</v>
      </c>
      <c r="G26">
        <v>26</v>
      </c>
      <c r="P26" s="105" t="s">
        <v>252</v>
      </c>
      <c r="Q26" s="107">
        <v>2598</v>
      </c>
      <c r="R26" s="104">
        <f t="shared" si="0"/>
        <v>2054</v>
      </c>
      <c r="S26" s="105">
        <v>544</v>
      </c>
      <c r="T26" s="108">
        <v>36</v>
      </c>
    </row>
    <row r="27" spans="1:20" x14ac:dyDescent="0.25">
      <c r="A27" t="s">
        <v>254</v>
      </c>
      <c r="G27">
        <v>27</v>
      </c>
      <c r="P27" s="105" t="s">
        <v>253</v>
      </c>
      <c r="Q27" s="107">
        <v>6224</v>
      </c>
      <c r="R27" s="104">
        <f t="shared" si="0"/>
        <v>5200</v>
      </c>
      <c r="S27" s="105">
        <v>1024</v>
      </c>
      <c r="T27" s="108">
        <v>65</v>
      </c>
    </row>
    <row r="28" spans="1:20" x14ac:dyDescent="0.25">
      <c r="A28" t="s">
        <v>255</v>
      </c>
      <c r="G28">
        <v>28</v>
      </c>
      <c r="P28" s="105" t="s">
        <v>254</v>
      </c>
      <c r="Q28" s="107">
        <v>4960</v>
      </c>
      <c r="R28" s="104">
        <f t="shared" si="0"/>
        <v>3966</v>
      </c>
      <c r="S28" s="105">
        <v>994</v>
      </c>
      <c r="T28" s="108">
        <v>77</v>
      </c>
    </row>
    <row r="29" spans="1:20" x14ac:dyDescent="0.25">
      <c r="A29" t="s">
        <v>256</v>
      </c>
      <c r="G29">
        <v>29</v>
      </c>
      <c r="P29" s="105" t="s">
        <v>255</v>
      </c>
      <c r="Q29" s="107">
        <v>4873</v>
      </c>
      <c r="R29" s="104">
        <f t="shared" si="0"/>
        <v>3983</v>
      </c>
      <c r="S29" s="105">
        <v>890</v>
      </c>
      <c r="T29" s="108">
        <v>103</v>
      </c>
    </row>
    <row r="30" spans="1:20" x14ac:dyDescent="0.25">
      <c r="A30" t="s">
        <v>257</v>
      </c>
      <c r="G30">
        <v>30</v>
      </c>
      <c r="P30" s="105" t="s">
        <v>256</v>
      </c>
      <c r="Q30" s="107">
        <v>13202</v>
      </c>
      <c r="R30" s="104">
        <f t="shared" si="0"/>
        <v>10724</v>
      </c>
      <c r="S30" s="105">
        <v>2478</v>
      </c>
      <c r="T30" s="108">
        <v>148</v>
      </c>
    </row>
    <row r="31" spans="1:20" x14ac:dyDescent="0.25">
      <c r="A31" t="s">
        <v>258</v>
      </c>
      <c r="G31">
        <v>31</v>
      </c>
      <c r="P31" s="105" t="s">
        <v>257</v>
      </c>
      <c r="Q31" s="107">
        <v>1710</v>
      </c>
      <c r="R31" s="104">
        <f t="shared" si="0"/>
        <v>1382</v>
      </c>
      <c r="S31" s="105">
        <v>328</v>
      </c>
      <c r="T31" s="108">
        <v>37</v>
      </c>
    </row>
    <row r="32" spans="1:20" x14ac:dyDescent="0.25">
      <c r="A32" t="s">
        <v>259</v>
      </c>
      <c r="P32" s="105" t="s">
        <v>258</v>
      </c>
      <c r="Q32" s="107">
        <v>5033</v>
      </c>
      <c r="R32" s="104">
        <f t="shared" si="0"/>
        <v>4104</v>
      </c>
      <c r="S32" s="105">
        <v>929</v>
      </c>
      <c r="T32" s="108">
        <v>93</v>
      </c>
    </row>
    <row r="33" spans="1:20" x14ac:dyDescent="0.25">
      <c r="A33" t="s">
        <v>260</v>
      </c>
      <c r="P33" s="105" t="s">
        <v>259</v>
      </c>
      <c r="Q33" s="107">
        <v>5208</v>
      </c>
      <c r="R33" s="104">
        <f t="shared" si="0"/>
        <v>4171</v>
      </c>
      <c r="S33" s="105">
        <v>1037</v>
      </c>
      <c r="T33" s="108">
        <v>84</v>
      </c>
    </row>
    <row r="34" spans="1:20" x14ac:dyDescent="0.25">
      <c r="A34" t="s">
        <v>261</v>
      </c>
      <c r="P34" s="105" t="s">
        <v>260</v>
      </c>
      <c r="Q34" s="107">
        <v>3191</v>
      </c>
      <c r="R34" s="104">
        <f t="shared" si="0"/>
        <v>2527</v>
      </c>
      <c r="S34" s="105">
        <v>664</v>
      </c>
      <c r="T34" s="108">
        <v>58</v>
      </c>
    </row>
    <row r="35" spans="1:20" x14ac:dyDescent="0.25">
      <c r="A35" t="s">
        <v>262</v>
      </c>
      <c r="P35" s="105" t="s">
        <v>261</v>
      </c>
      <c r="Q35" s="107">
        <v>3706</v>
      </c>
      <c r="R35" s="104">
        <f t="shared" si="0"/>
        <v>3011</v>
      </c>
      <c r="S35" s="105">
        <v>695</v>
      </c>
      <c r="T35" s="108">
        <v>42</v>
      </c>
    </row>
    <row r="36" spans="1:20" x14ac:dyDescent="0.25">
      <c r="A36" t="s">
        <v>263</v>
      </c>
      <c r="P36" s="105" t="s">
        <v>262</v>
      </c>
      <c r="Q36" s="107">
        <v>2541</v>
      </c>
      <c r="R36" s="104">
        <f t="shared" si="0"/>
        <v>2062</v>
      </c>
      <c r="S36" s="105">
        <v>479</v>
      </c>
      <c r="T36" s="108">
        <v>48</v>
      </c>
    </row>
    <row r="37" spans="1:20" x14ac:dyDescent="0.25">
      <c r="A37" t="s">
        <v>264</v>
      </c>
      <c r="P37" s="105" t="s">
        <v>263</v>
      </c>
      <c r="Q37" s="107">
        <v>7287</v>
      </c>
      <c r="R37" s="104">
        <f t="shared" si="0"/>
        <v>5894</v>
      </c>
      <c r="S37" s="105">
        <v>1393</v>
      </c>
      <c r="T37" s="108">
        <v>45</v>
      </c>
    </row>
    <row r="38" spans="1:20" x14ac:dyDescent="0.25">
      <c r="A38" t="s">
        <v>265</v>
      </c>
      <c r="P38" s="105" t="s">
        <v>264</v>
      </c>
      <c r="Q38" s="107">
        <v>2626</v>
      </c>
      <c r="R38" s="104">
        <f t="shared" si="0"/>
        <v>2116</v>
      </c>
      <c r="S38" s="105">
        <v>510</v>
      </c>
      <c r="T38" s="108">
        <v>34</v>
      </c>
    </row>
    <row r="39" spans="1:20" x14ac:dyDescent="0.25">
      <c r="A39" t="s">
        <v>266</v>
      </c>
      <c r="P39" s="105" t="s">
        <v>265</v>
      </c>
      <c r="Q39" s="107">
        <v>2112</v>
      </c>
      <c r="R39" s="104">
        <f t="shared" si="0"/>
        <v>1681</v>
      </c>
      <c r="S39" s="105">
        <v>431</v>
      </c>
      <c r="T39" s="108">
        <v>67</v>
      </c>
    </row>
    <row r="40" spans="1:20" x14ac:dyDescent="0.25">
      <c r="A40" t="s">
        <v>267</v>
      </c>
      <c r="P40" s="105" t="s">
        <v>266</v>
      </c>
      <c r="Q40" s="107">
        <v>5642</v>
      </c>
      <c r="R40" s="104">
        <f t="shared" si="0"/>
        <v>4549</v>
      </c>
      <c r="S40" s="105">
        <v>1093</v>
      </c>
      <c r="T40" s="108">
        <v>82</v>
      </c>
    </row>
    <row r="41" spans="1:20" x14ac:dyDescent="0.25">
      <c r="A41" t="s">
        <v>268</v>
      </c>
      <c r="P41" s="105" t="s">
        <v>267</v>
      </c>
      <c r="Q41" s="107">
        <v>2681</v>
      </c>
      <c r="R41" s="104">
        <f t="shared" si="0"/>
        <v>2073</v>
      </c>
      <c r="S41" s="105">
        <v>608</v>
      </c>
      <c r="T41" s="108">
        <v>48</v>
      </c>
    </row>
    <row r="42" spans="1:20" x14ac:dyDescent="0.25">
      <c r="A42" t="s">
        <v>269</v>
      </c>
      <c r="P42" s="105" t="s">
        <v>268</v>
      </c>
      <c r="Q42" s="107">
        <v>9114</v>
      </c>
      <c r="R42" s="104">
        <f t="shared" si="0"/>
        <v>7543</v>
      </c>
      <c r="S42" s="105">
        <v>1571</v>
      </c>
      <c r="T42" s="108">
        <v>162</v>
      </c>
    </row>
    <row r="43" spans="1:20" x14ac:dyDescent="0.25">
      <c r="A43" t="s">
        <v>270</v>
      </c>
      <c r="P43" s="105" t="s">
        <v>269</v>
      </c>
      <c r="Q43" s="107">
        <v>3215</v>
      </c>
      <c r="R43" s="104">
        <f t="shared" si="0"/>
        <v>2664</v>
      </c>
      <c r="S43" s="105">
        <v>551</v>
      </c>
      <c r="T43" s="108">
        <v>58</v>
      </c>
    </row>
    <row r="44" spans="1:20" x14ac:dyDescent="0.25">
      <c r="A44" t="s">
        <v>271</v>
      </c>
      <c r="P44" s="105" t="s">
        <v>270</v>
      </c>
      <c r="Q44" s="107">
        <v>5609</v>
      </c>
      <c r="R44" s="104">
        <f t="shared" si="0"/>
        <v>4542</v>
      </c>
      <c r="S44" s="105">
        <v>1067</v>
      </c>
      <c r="T44" s="108">
        <v>99</v>
      </c>
    </row>
    <row r="45" spans="1:20" x14ac:dyDescent="0.25">
      <c r="A45" t="s">
        <v>272</v>
      </c>
      <c r="P45" s="105" t="s">
        <v>271</v>
      </c>
      <c r="Q45" s="107">
        <v>8983</v>
      </c>
      <c r="R45" s="104">
        <f t="shared" si="0"/>
        <v>7141</v>
      </c>
      <c r="S45" s="105">
        <v>1842</v>
      </c>
      <c r="T45" s="108">
        <v>148</v>
      </c>
    </row>
    <row r="46" spans="1:20" x14ac:dyDescent="0.25">
      <c r="A46" t="s">
        <v>273</v>
      </c>
      <c r="P46" s="105" t="s">
        <v>272</v>
      </c>
      <c r="Q46" s="107">
        <v>8286</v>
      </c>
      <c r="R46" s="104">
        <f t="shared" si="0"/>
        <v>6629</v>
      </c>
      <c r="S46" s="105">
        <v>1657</v>
      </c>
      <c r="T46" s="108">
        <v>138</v>
      </c>
    </row>
    <row r="47" spans="1:20" x14ac:dyDescent="0.25">
      <c r="P47" s="105" t="s">
        <v>273</v>
      </c>
      <c r="Q47" s="107">
        <v>2235</v>
      </c>
      <c r="R47" s="104">
        <f t="shared" si="0"/>
        <v>1772</v>
      </c>
      <c r="S47" s="105">
        <v>463</v>
      </c>
      <c r="T47" s="108">
        <v>32</v>
      </c>
    </row>
    <row r="48" spans="1:20" x14ac:dyDescent="0.25">
      <c r="Q48">
        <f>SUM(Q2:Q47)</f>
        <v>405555</v>
      </c>
      <c r="R48" s="104">
        <f t="shared" ref="R48" si="1">Q48-S48</f>
        <v>333615</v>
      </c>
      <c r="S48">
        <f>SUM(S2:S47)</f>
        <v>71940</v>
      </c>
      <c r="T48">
        <f>SUM(T2:T47)</f>
        <v>5014</v>
      </c>
    </row>
  </sheetData>
  <sheetProtection password="DB70" sheet="1" objects="1" scenarios="1" autoFilter="0"/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0000"/>
  </sheetPr>
  <dimension ref="A1:K77"/>
  <sheetViews>
    <sheetView topLeftCell="B1" workbookViewId="0">
      <selection activeCell="I2" sqref="I2"/>
    </sheetView>
  </sheetViews>
  <sheetFormatPr defaultColWidth="20" defaultRowHeight="15" x14ac:dyDescent="0.2"/>
  <cols>
    <col min="1" max="1" width="20" style="115"/>
    <col min="2" max="2" width="40.5703125" style="122" customWidth="1"/>
    <col min="3" max="5" width="20" style="123" customWidth="1"/>
    <col min="6" max="6" width="26" style="123" customWidth="1"/>
    <col min="7" max="10" width="20" style="123" customWidth="1"/>
    <col min="11" max="11" width="20" style="124" customWidth="1"/>
    <col min="12" max="16384" width="20" style="115"/>
  </cols>
  <sheetData>
    <row r="1" spans="1:11" ht="85.5" customHeight="1" thickBot="1" x14ac:dyDescent="0.3">
      <c r="A1" s="113" t="s">
        <v>195</v>
      </c>
      <c r="B1" s="113" t="s">
        <v>313</v>
      </c>
      <c r="C1" s="125" t="s">
        <v>310</v>
      </c>
      <c r="D1" s="126" t="s">
        <v>309</v>
      </c>
      <c r="E1" s="126" t="s">
        <v>314</v>
      </c>
      <c r="F1" s="114" t="s">
        <v>311</v>
      </c>
      <c r="G1" s="127" t="s">
        <v>312</v>
      </c>
      <c r="H1" s="114" t="s">
        <v>331</v>
      </c>
      <c r="I1" s="114" t="s">
        <v>330</v>
      </c>
      <c r="J1" s="114" t="s">
        <v>329</v>
      </c>
      <c r="K1" s="114" t="s">
        <v>328</v>
      </c>
    </row>
    <row r="2" spans="1:11" ht="30" customHeight="1" thickBot="1" x14ac:dyDescent="0.25">
      <c r="A2" s="116">
        <v>1</v>
      </c>
      <c r="B2" s="117" t="s">
        <v>216</v>
      </c>
      <c r="C2" s="118">
        <v>16850</v>
      </c>
      <c r="D2" s="118">
        <f>C2-F2</f>
        <v>13461</v>
      </c>
      <c r="E2" s="118">
        <v>275</v>
      </c>
      <c r="F2" s="119">
        <v>3389</v>
      </c>
      <c r="G2" s="119">
        <v>1803</v>
      </c>
      <c r="H2" s="119">
        <v>1586</v>
      </c>
      <c r="I2" s="118">
        <v>100</v>
      </c>
      <c r="J2" s="119">
        <v>157</v>
      </c>
      <c r="K2" s="119">
        <f>I2+J2</f>
        <v>257</v>
      </c>
    </row>
    <row r="3" spans="1:11" ht="30" customHeight="1" thickBot="1" x14ac:dyDescent="0.25">
      <c r="A3" s="116">
        <v>2</v>
      </c>
      <c r="B3" s="117" t="s">
        <v>220</v>
      </c>
      <c r="C3" s="120">
        <v>18652</v>
      </c>
      <c r="D3" s="118">
        <f t="shared" ref="D3:D45" si="0">C3-F3</f>
        <v>15394</v>
      </c>
      <c r="E3" s="120">
        <v>257</v>
      </c>
      <c r="F3" s="119">
        <v>3258</v>
      </c>
      <c r="G3" s="119">
        <v>1628</v>
      </c>
      <c r="H3" s="119">
        <v>1630</v>
      </c>
      <c r="I3" s="120">
        <v>96</v>
      </c>
      <c r="J3" s="121"/>
      <c r="K3" s="119">
        <v>96</v>
      </c>
    </row>
    <row r="4" spans="1:11" ht="30" customHeight="1" thickBot="1" x14ac:dyDescent="0.25">
      <c r="A4" s="116">
        <v>3</v>
      </c>
      <c r="B4" s="117" t="s">
        <v>222</v>
      </c>
      <c r="C4" s="120">
        <v>5725</v>
      </c>
      <c r="D4" s="118">
        <f t="shared" si="0"/>
        <v>4789</v>
      </c>
      <c r="E4" s="120">
        <v>70</v>
      </c>
      <c r="F4" s="119">
        <v>936</v>
      </c>
      <c r="G4" s="119">
        <v>479</v>
      </c>
      <c r="H4" s="119">
        <v>457</v>
      </c>
      <c r="I4" s="120">
        <v>34</v>
      </c>
      <c r="J4" s="121">
        <v>320</v>
      </c>
      <c r="K4" s="119">
        <f t="shared" ref="K4:K22" si="1">J4+I4</f>
        <v>354</v>
      </c>
    </row>
    <row r="5" spans="1:11" ht="30" customHeight="1" thickBot="1" x14ac:dyDescent="0.25">
      <c r="A5" s="116">
        <v>4</v>
      </c>
      <c r="B5" s="117" t="s">
        <v>226</v>
      </c>
      <c r="C5" s="120">
        <v>16360</v>
      </c>
      <c r="D5" s="118">
        <f t="shared" si="0"/>
        <v>13617</v>
      </c>
      <c r="E5" s="120">
        <v>173</v>
      </c>
      <c r="F5" s="119">
        <v>2743</v>
      </c>
      <c r="G5" s="119">
        <v>1423</v>
      </c>
      <c r="H5" s="119">
        <v>1320</v>
      </c>
      <c r="I5" s="120">
        <v>124</v>
      </c>
      <c r="J5" s="121">
        <v>225</v>
      </c>
      <c r="K5" s="119">
        <f t="shared" si="1"/>
        <v>349</v>
      </c>
    </row>
    <row r="6" spans="1:11" ht="30" customHeight="1" thickBot="1" x14ac:dyDescent="0.25">
      <c r="A6" s="116">
        <v>5</v>
      </c>
      <c r="B6" s="117" t="s">
        <v>228</v>
      </c>
      <c r="C6" s="120">
        <v>25544</v>
      </c>
      <c r="D6" s="118">
        <f t="shared" si="0"/>
        <v>20865</v>
      </c>
      <c r="E6" s="120">
        <v>324</v>
      </c>
      <c r="F6" s="119">
        <v>4679</v>
      </c>
      <c r="G6" s="119">
        <v>2364</v>
      </c>
      <c r="H6" s="119">
        <v>2315</v>
      </c>
      <c r="I6" s="120">
        <v>251</v>
      </c>
      <c r="J6" s="121">
        <v>161</v>
      </c>
      <c r="K6" s="119">
        <f t="shared" si="1"/>
        <v>412</v>
      </c>
    </row>
    <row r="7" spans="1:11" ht="30" customHeight="1" thickBot="1" x14ac:dyDescent="0.25">
      <c r="A7" s="116">
        <v>6</v>
      </c>
      <c r="B7" s="117" t="s">
        <v>230</v>
      </c>
      <c r="C7" s="120">
        <v>24548</v>
      </c>
      <c r="D7" s="118">
        <f t="shared" si="0"/>
        <v>20289</v>
      </c>
      <c r="E7" s="120">
        <v>409</v>
      </c>
      <c r="F7" s="119">
        <v>4259</v>
      </c>
      <c r="G7" s="119">
        <v>2165</v>
      </c>
      <c r="H7" s="119">
        <v>2094</v>
      </c>
      <c r="I7" s="120">
        <v>177</v>
      </c>
      <c r="J7" s="121">
        <v>345</v>
      </c>
      <c r="K7" s="119">
        <f t="shared" si="1"/>
        <v>522</v>
      </c>
    </row>
    <row r="8" spans="1:11" ht="30" customHeight="1" thickBot="1" x14ac:dyDescent="0.25">
      <c r="A8" s="116">
        <v>7</v>
      </c>
      <c r="B8" s="117" t="s">
        <v>232</v>
      </c>
      <c r="C8" s="120">
        <v>23327</v>
      </c>
      <c r="D8" s="118">
        <f t="shared" si="0"/>
        <v>19989</v>
      </c>
      <c r="E8" s="120">
        <v>320</v>
      </c>
      <c r="F8" s="119">
        <v>3338</v>
      </c>
      <c r="G8" s="119">
        <v>1685</v>
      </c>
      <c r="H8" s="119">
        <v>1653</v>
      </c>
      <c r="I8" s="120">
        <v>150</v>
      </c>
      <c r="J8" s="121">
        <v>113</v>
      </c>
      <c r="K8" s="119">
        <f t="shared" si="1"/>
        <v>263</v>
      </c>
    </row>
    <row r="9" spans="1:11" ht="30" customHeight="1" thickBot="1" x14ac:dyDescent="0.25">
      <c r="A9" s="116">
        <v>8</v>
      </c>
      <c r="B9" s="117" t="s">
        <v>234</v>
      </c>
      <c r="C9" s="120">
        <v>21163</v>
      </c>
      <c r="D9" s="118">
        <f t="shared" si="0"/>
        <v>17496</v>
      </c>
      <c r="E9" s="120">
        <v>310</v>
      </c>
      <c r="F9" s="119">
        <v>3667</v>
      </c>
      <c r="G9" s="119">
        <v>2014</v>
      </c>
      <c r="H9" s="119">
        <v>1653</v>
      </c>
      <c r="I9" s="120">
        <v>171</v>
      </c>
      <c r="J9" s="121"/>
      <c r="K9" s="119">
        <f t="shared" si="1"/>
        <v>171</v>
      </c>
    </row>
    <row r="10" spans="1:11" ht="30" customHeight="1" thickBot="1" x14ac:dyDescent="0.25">
      <c r="A10" s="116">
        <v>9</v>
      </c>
      <c r="B10" s="117" t="s">
        <v>236</v>
      </c>
      <c r="C10" s="120">
        <v>20017</v>
      </c>
      <c r="D10" s="118">
        <f t="shared" si="0"/>
        <v>16694</v>
      </c>
      <c r="E10" s="120">
        <v>302</v>
      </c>
      <c r="F10" s="119">
        <v>3323</v>
      </c>
      <c r="G10" s="119">
        <v>1692</v>
      </c>
      <c r="H10" s="119">
        <v>1631</v>
      </c>
      <c r="I10" s="120">
        <v>113</v>
      </c>
      <c r="J10" s="121">
        <v>284</v>
      </c>
      <c r="K10" s="119">
        <f t="shared" si="1"/>
        <v>397</v>
      </c>
    </row>
    <row r="11" spans="1:11" ht="30" customHeight="1" thickBot="1" x14ac:dyDescent="0.25">
      <c r="A11" s="116">
        <v>10</v>
      </c>
      <c r="B11" s="117" t="s">
        <v>238</v>
      </c>
      <c r="C11" s="120">
        <v>32905</v>
      </c>
      <c r="D11" s="118">
        <f t="shared" si="0"/>
        <v>26751</v>
      </c>
      <c r="E11" s="120">
        <v>487</v>
      </c>
      <c r="F11" s="119">
        <v>6154</v>
      </c>
      <c r="G11" s="119">
        <v>3032</v>
      </c>
      <c r="H11" s="119">
        <v>3122</v>
      </c>
      <c r="I11" s="120">
        <v>520</v>
      </c>
      <c r="J11" s="121">
        <v>245</v>
      </c>
      <c r="K11" s="119">
        <f t="shared" si="1"/>
        <v>765</v>
      </c>
    </row>
    <row r="12" spans="1:11" ht="30" customHeight="1" thickBot="1" x14ac:dyDescent="0.25">
      <c r="A12" s="116">
        <v>11</v>
      </c>
      <c r="B12" s="117" t="s">
        <v>240</v>
      </c>
      <c r="C12" s="120">
        <v>17274</v>
      </c>
      <c r="D12" s="118">
        <f t="shared" si="0"/>
        <v>14386</v>
      </c>
      <c r="E12" s="120">
        <v>278</v>
      </c>
      <c r="F12" s="119">
        <v>2888</v>
      </c>
      <c r="G12" s="119">
        <v>1503</v>
      </c>
      <c r="H12" s="119">
        <v>1385</v>
      </c>
      <c r="I12" s="120">
        <v>179</v>
      </c>
      <c r="J12" s="121">
        <v>135</v>
      </c>
      <c r="K12" s="119">
        <f t="shared" si="1"/>
        <v>314</v>
      </c>
    </row>
    <row r="13" spans="1:11" ht="30" customHeight="1" thickBot="1" x14ac:dyDescent="0.25">
      <c r="A13" s="116">
        <v>12</v>
      </c>
      <c r="B13" s="117" t="s">
        <v>241</v>
      </c>
      <c r="C13" s="120">
        <v>2118</v>
      </c>
      <c r="D13" s="118">
        <f t="shared" si="0"/>
        <v>1691</v>
      </c>
      <c r="E13" s="120">
        <v>29</v>
      </c>
      <c r="F13" s="119">
        <v>427</v>
      </c>
      <c r="G13" s="119">
        <v>215</v>
      </c>
      <c r="H13" s="119">
        <v>212</v>
      </c>
      <c r="I13" s="120">
        <v>37</v>
      </c>
      <c r="J13" s="121"/>
      <c r="K13" s="119">
        <f t="shared" si="1"/>
        <v>37</v>
      </c>
    </row>
    <row r="14" spans="1:11" ht="30" customHeight="1" thickBot="1" x14ac:dyDescent="0.25">
      <c r="A14" s="116">
        <v>13</v>
      </c>
      <c r="B14" s="117" t="s">
        <v>242</v>
      </c>
      <c r="C14" s="120">
        <v>4395</v>
      </c>
      <c r="D14" s="118">
        <f t="shared" si="0"/>
        <v>3477</v>
      </c>
      <c r="E14" s="120">
        <v>59</v>
      </c>
      <c r="F14" s="119">
        <v>918</v>
      </c>
      <c r="G14" s="119">
        <v>484</v>
      </c>
      <c r="H14" s="119">
        <v>434</v>
      </c>
      <c r="I14" s="120">
        <v>64</v>
      </c>
      <c r="J14" s="121"/>
      <c r="K14" s="119">
        <f t="shared" si="1"/>
        <v>64</v>
      </c>
    </row>
    <row r="15" spans="1:11" ht="30" customHeight="1" thickBot="1" x14ac:dyDescent="0.25">
      <c r="A15" s="116">
        <v>14</v>
      </c>
      <c r="B15" s="117" t="s">
        <v>243</v>
      </c>
      <c r="C15" s="120">
        <v>11378</v>
      </c>
      <c r="D15" s="118">
        <f t="shared" si="0"/>
        <v>9233</v>
      </c>
      <c r="E15" s="120">
        <v>193</v>
      </c>
      <c r="F15" s="119">
        <v>2145</v>
      </c>
      <c r="G15" s="119">
        <v>1105</v>
      </c>
      <c r="H15" s="119">
        <v>1040</v>
      </c>
      <c r="I15" s="120">
        <v>152</v>
      </c>
      <c r="J15" s="121">
        <v>48</v>
      </c>
      <c r="K15" s="119">
        <f t="shared" si="1"/>
        <v>200</v>
      </c>
    </row>
    <row r="16" spans="1:11" ht="30" customHeight="1" thickBot="1" x14ac:dyDescent="0.25">
      <c r="A16" s="116">
        <v>15</v>
      </c>
      <c r="B16" s="117" t="s">
        <v>244</v>
      </c>
      <c r="C16" s="120">
        <v>2068</v>
      </c>
      <c r="D16" s="118">
        <f t="shared" si="0"/>
        <v>1628</v>
      </c>
      <c r="E16" s="120">
        <v>29</v>
      </c>
      <c r="F16" s="131">
        <v>440</v>
      </c>
      <c r="G16" s="131">
        <v>234</v>
      </c>
      <c r="H16" s="119">
        <v>206</v>
      </c>
      <c r="I16" s="120">
        <v>48</v>
      </c>
      <c r="J16" s="121"/>
      <c r="K16" s="119">
        <f t="shared" si="1"/>
        <v>48</v>
      </c>
    </row>
    <row r="17" spans="1:11" ht="30" customHeight="1" thickBot="1" x14ac:dyDescent="0.25">
      <c r="A17" s="116">
        <v>16</v>
      </c>
      <c r="B17" s="117" t="s">
        <v>245</v>
      </c>
      <c r="C17" s="120">
        <v>4311</v>
      </c>
      <c r="D17" s="118">
        <f t="shared" si="0"/>
        <v>3440</v>
      </c>
      <c r="E17" s="120">
        <v>56</v>
      </c>
      <c r="F17" s="119">
        <v>871</v>
      </c>
      <c r="G17" s="119">
        <v>456</v>
      </c>
      <c r="H17" s="119">
        <v>415</v>
      </c>
      <c r="I17" s="120">
        <v>57</v>
      </c>
      <c r="J17" s="121">
        <v>69</v>
      </c>
      <c r="K17" s="119">
        <f t="shared" si="1"/>
        <v>126</v>
      </c>
    </row>
    <row r="18" spans="1:11" ht="30" customHeight="1" thickBot="1" x14ac:dyDescent="0.25">
      <c r="A18" s="116">
        <v>17</v>
      </c>
      <c r="B18" s="117" t="s">
        <v>246</v>
      </c>
      <c r="C18" s="120">
        <v>4076</v>
      </c>
      <c r="D18" s="118">
        <f t="shared" si="0"/>
        <v>3226</v>
      </c>
      <c r="E18" s="120">
        <v>52</v>
      </c>
      <c r="F18" s="119">
        <v>850</v>
      </c>
      <c r="G18" s="119">
        <v>436</v>
      </c>
      <c r="H18" s="119">
        <v>414</v>
      </c>
      <c r="I18" s="120">
        <v>121</v>
      </c>
      <c r="J18" s="121"/>
      <c r="K18" s="119">
        <f t="shared" si="1"/>
        <v>121</v>
      </c>
    </row>
    <row r="19" spans="1:11" ht="30" customHeight="1" thickBot="1" x14ac:dyDescent="0.25">
      <c r="A19" s="116">
        <v>18</v>
      </c>
      <c r="B19" s="117" t="s">
        <v>247</v>
      </c>
      <c r="C19" s="120">
        <v>5823</v>
      </c>
      <c r="D19" s="118">
        <f t="shared" si="0"/>
        <v>4615</v>
      </c>
      <c r="E19" s="120">
        <v>103</v>
      </c>
      <c r="F19" s="119">
        <v>1208</v>
      </c>
      <c r="G19" s="119">
        <v>628</v>
      </c>
      <c r="H19" s="119">
        <v>580</v>
      </c>
      <c r="I19" s="120">
        <v>70</v>
      </c>
      <c r="J19" s="121">
        <v>75</v>
      </c>
      <c r="K19" s="119">
        <f t="shared" si="1"/>
        <v>145</v>
      </c>
    </row>
    <row r="20" spans="1:11" ht="30" customHeight="1" thickBot="1" x14ac:dyDescent="0.25">
      <c r="A20" s="116">
        <v>19</v>
      </c>
      <c r="B20" s="117" t="s">
        <v>248</v>
      </c>
      <c r="C20" s="120">
        <v>5464</v>
      </c>
      <c r="D20" s="118">
        <f t="shared" si="0"/>
        <v>4351</v>
      </c>
      <c r="E20" s="120">
        <v>71</v>
      </c>
      <c r="F20" s="119">
        <v>1113</v>
      </c>
      <c r="G20" s="119">
        <v>557</v>
      </c>
      <c r="H20" s="119">
        <v>556</v>
      </c>
      <c r="I20" s="120">
        <v>181</v>
      </c>
      <c r="J20" s="121">
        <v>28</v>
      </c>
      <c r="K20" s="119">
        <f t="shared" si="1"/>
        <v>209</v>
      </c>
    </row>
    <row r="21" spans="1:11" ht="30" customHeight="1" thickBot="1" x14ac:dyDescent="0.25">
      <c r="A21" s="116">
        <v>20</v>
      </c>
      <c r="B21" s="117" t="s">
        <v>249</v>
      </c>
      <c r="C21" s="120">
        <v>9247</v>
      </c>
      <c r="D21" s="118">
        <f t="shared" si="0"/>
        <v>7501</v>
      </c>
      <c r="E21" s="120">
        <v>140</v>
      </c>
      <c r="F21" s="119">
        <v>1746</v>
      </c>
      <c r="G21" s="119">
        <v>905</v>
      </c>
      <c r="H21" s="119">
        <v>841</v>
      </c>
      <c r="I21" s="120">
        <v>112</v>
      </c>
      <c r="J21" s="121">
        <v>85</v>
      </c>
      <c r="K21" s="119">
        <f t="shared" si="1"/>
        <v>197</v>
      </c>
    </row>
    <row r="22" spans="1:11" ht="30" customHeight="1" thickBot="1" x14ac:dyDescent="0.25">
      <c r="A22" s="116">
        <v>21</v>
      </c>
      <c r="B22" s="117" t="s">
        <v>250</v>
      </c>
      <c r="C22" s="120">
        <v>21942</v>
      </c>
      <c r="D22" s="118">
        <f t="shared" si="0"/>
        <v>17618</v>
      </c>
      <c r="E22" s="120">
        <v>304</v>
      </c>
      <c r="F22" s="119">
        <v>4324</v>
      </c>
      <c r="G22" s="119">
        <v>2201</v>
      </c>
      <c r="H22" s="119">
        <v>2123</v>
      </c>
      <c r="I22" s="120">
        <v>258</v>
      </c>
      <c r="J22" s="121">
        <v>222</v>
      </c>
      <c r="K22" s="119">
        <f t="shared" si="1"/>
        <v>480</v>
      </c>
    </row>
    <row r="23" spans="1:11" ht="30" customHeight="1" thickBot="1" x14ac:dyDescent="0.25">
      <c r="A23" s="116">
        <v>22</v>
      </c>
      <c r="B23" s="117" t="s">
        <v>251</v>
      </c>
      <c r="C23" s="120">
        <v>1960</v>
      </c>
      <c r="D23" s="118">
        <f t="shared" si="0"/>
        <v>1492</v>
      </c>
      <c r="E23" s="120">
        <v>32</v>
      </c>
      <c r="F23" s="119">
        <v>468</v>
      </c>
      <c r="G23" s="119">
        <v>242</v>
      </c>
      <c r="H23" s="119">
        <v>226</v>
      </c>
      <c r="I23" s="120">
        <v>34</v>
      </c>
      <c r="J23" s="121"/>
      <c r="K23" s="119">
        <v>34</v>
      </c>
    </row>
    <row r="24" spans="1:11" ht="30" customHeight="1" thickBot="1" x14ac:dyDescent="0.25">
      <c r="A24" s="116">
        <v>23</v>
      </c>
      <c r="B24" s="117" t="s">
        <v>252</v>
      </c>
      <c r="C24" s="120">
        <v>2582</v>
      </c>
      <c r="D24" s="118">
        <f t="shared" si="0"/>
        <v>2031</v>
      </c>
      <c r="E24" s="120">
        <v>29</v>
      </c>
      <c r="F24" s="119">
        <v>551</v>
      </c>
      <c r="G24" s="119">
        <v>290</v>
      </c>
      <c r="H24" s="119">
        <v>261</v>
      </c>
      <c r="I24" s="120">
        <v>31</v>
      </c>
      <c r="J24" s="121"/>
      <c r="K24" s="119">
        <v>31</v>
      </c>
    </row>
    <row r="25" spans="1:11" ht="30" customHeight="1" thickBot="1" x14ac:dyDescent="0.25">
      <c r="A25" s="116">
        <v>24</v>
      </c>
      <c r="B25" s="117" t="s">
        <v>253</v>
      </c>
      <c r="C25" s="120">
        <v>6274</v>
      </c>
      <c r="D25" s="118">
        <f t="shared" si="0"/>
        <v>5142</v>
      </c>
      <c r="E25" s="120">
        <v>96</v>
      </c>
      <c r="F25" s="119">
        <v>1132</v>
      </c>
      <c r="G25" s="119">
        <v>578</v>
      </c>
      <c r="H25" s="119">
        <v>554</v>
      </c>
      <c r="I25" s="120">
        <v>58</v>
      </c>
      <c r="J25" s="121"/>
      <c r="K25" s="119">
        <v>58</v>
      </c>
    </row>
    <row r="26" spans="1:11" ht="30" customHeight="1" thickBot="1" x14ac:dyDescent="0.25">
      <c r="A26" s="116">
        <v>25</v>
      </c>
      <c r="B26" s="117" t="s">
        <v>254</v>
      </c>
      <c r="C26" s="120">
        <v>4988</v>
      </c>
      <c r="D26" s="118">
        <f t="shared" si="0"/>
        <v>3951</v>
      </c>
      <c r="E26" s="120">
        <v>50</v>
      </c>
      <c r="F26" s="119">
        <v>1037</v>
      </c>
      <c r="G26" s="119">
        <v>532</v>
      </c>
      <c r="H26" s="119">
        <v>505</v>
      </c>
      <c r="I26" s="120">
        <v>72</v>
      </c>
      <c r="J26" s="121">
        <v>137</v>
      </c>
      <c r="K26" s="119">
        <f>J26+I26</f>
        <v>209</v>
      </c>
    </row>
    <row r="27" spans="1:11" ht="30" customHeight="1" thickBot="1" x14ac:dyDescent="0.25">
      <c r="A27" s="116">
        <v>26</v>
      </c>
      <c r="B27" s="117" t="s">
        <v>255</v>
      </c>
      <c r="C27" s="120">
        <v>4996</v>
      </c>
      <c r="D27" s="118">
        <f t="shared" si="0"/>
        <v>3964</v>
      </c>
      <c r="E27" s="120">
        <v>80</v>
      </c>
      <c r="F27" s="119">
        <v>1032</v>
      </c>
      <c r="G27" s="119">
        <v>541</v>
      </c>
      <c r="H27" s="119">
        <v>491</v>
      </c>
      <c r="I27" s="120">
        <v>96</v>
      </c>
      <c r="J27" s="121">
        <v>138</v>
      </c>
      <c r="K27" s="119">
        <f>J27+I27</f>
        <v>234</v>
      </c>
    </row>
    <row r="28" spans="1:11" ht="30" customHeight="1" thickBot="1" x14ac:dyDescent="0.25">
      <c r="A28" s="116">
        <v>27</v>
      </c>
      <c r="B28" s="117" t="s">
        <v>256</v>
      </c>
      <c r="C28" s="120">
        <v>13377</v>
      </c>
      <c r="D28" s="118">
        <f t="shared" si="0"/>
        <v>10801</v>
      </c>
      <c r="E28" s="120">
        <v>226</v>
      </c>
      <c r="F28" s="119">
        <v>2576</v>
      </c>
      <c r="G28" s="119">
        <v>1311</v>
      </c>
      <c r="H28" s="119">
        <v>1265</v>
      </c>
      <c r="I28" s="120">
        <v>135</v>
      </c>
      <c r="J28" s="121">
        <v>120</v>
      </c>
      <c r="K28" s="119">
        <v>155</v>
      </c>
    </row>
    <row r="29" spans="1:11" ht="30" customHeight="1" thickBot="1" x14ac:dyDescent="0.25">
      <c r="A29" s="116">
        <v>28</v>
      </c>
      <c r="B29" s="117" t="s">
        <v>257</v>
      </c>
      <c r="C29" s="120">
        <v>1726</v>
      </c>
      <c r="D29" s="118">
        <f t="shared" si="0"/>
        <v>1361</v>
      </c>
      <c r="E29" s="120">
        <v>28</v>
      </c>
      <c r="F29" s="119">
        <v>365</v>
      </c>
      <c r="G29" s="119">
        <v>187</v>
      </c>
      <c r="H29" s="119">
        <v>178</v>
      </c>
      <c r="I29" s="120">
        <v>35</v>
      </c>
      <c r="J29" s="121"/>
      <c r="K29" s="119">
        <v>35</v>
      </c>
    </row>
    <row r="30" spans="1:11" ht="30" customHeight="1" thickBot="1" x14ac:dyDescent="0.25">
      <c r="A30" s="116">
        <v>29</v>
      </c>
      <c r="B30" s="117" t="s">
        <v>258</v>
      </c>
      <c r="C30" s="120">
        <v>5072</v>
      </c>
      <c r="D30" s="118">
        <f t="shared" si="0"/>
        <v>4066</v>
      </c>
      <c r="E30" s="120">
        <v>55</v>
      </c>
      <c r="F30" s="119">
        <v>1006</v>
      </c>
      <c r="G30" s="119">
        <v>525</v>
      </c>
      <c r="H30" s="119">
        <v>481</v>
      </c>
      <c r="I30" s="120">
        <v>93</v>
      </c>
      <c r="J30" s="121"/>
      <c r="K30" s="119">
        <v>93</v>
      </c>
    </row>
    <row r="31" spans="1:11" ht="30" customHeight="1" thickBot="1" x14ac:dyDescent="0.25">
      <c r="A31" s="116">
        <v>30</v>
      </c>
      <c r="B31" s="117" t="s">
        <v>259</v>
      </c>
      <c r="C31" s="120">
        <v>5207</v>
      </c>
      <c r="D31" s="118">
        <f t="shared" si="0"/>
        <v>4133</v>
      </c>
      <c r="E31" s="120">
        <v>82</v>
      </c>
      <c r="F31" s="119">
        <v>1074</v>
      </c>
      <c r="G31" s="119">
        <v>541</v>
      </c>
      <c r="H31" s="119">
        <v>533</v>
      </c>
      <c r="I31" s="120">
        <v>84</v>
      </c>
      <c r="J31" s="121">
        <v>37</v>
      </c>
      <c r="K31" s="119">
        <f>J31+I31</f>
        <v>121</v>
      </c>
    </row>
    <row r="32" spans="1:11" ht="30" customHeight="1" thickBot="1" x14ac:dyDescent="0.25">
      <c r="A32" s="116">
        <v>31</v>
      </c>
      <c r="B32" s="117" t="s">
        <v>260</v>
      </c>
      <c r="C32" s="120">
        <v>3195</v>
      </c>
      <c r="D32" s="118">
        <f t="shared" si="0"/>
        <v>2508</v>
      </c>
      <c r="E32" s="120">
        <v>48</v>
      </c>
      <c r="F32" s="119">
        <v>687</v>
      </c>
      <c r="G32" s="119">
        <v>345</v>
      </c>
      <c r="H32" s="119">
        <v>342</v>
      </c>
      <c r="I32" s="120">
        <v>52</v>
      </c>
      <c r="J32" s="121"/>
      <c r="K32" s="119">
        <v>52</v>
      </c>
    </row>
    <row r="33" spans="1:11" ht="30" customHeight="1" thickBot="1" x14ac:dyDescent="0.25">
      <c r="A33" s="116">
        <v>32</v>
      </c>
      <c r="B33" s="117" t="s">
        <v>261</v>
      </c>
      <c r="C33" s="120">
        <v>3723</v>
      </c>
      <c r="D33" s="118">
        <f t="shared" si="0"/>
        <v>2990</v>
      </c>
      <c r="E33" s="120">
        <v>49</v>
      </c>
      <c r="F33" s="119">
        <v>733</v>
      </c>
      <c r="G33" s="119">
        <v>370</v>
      </c>
      <c r="H33" s="119">
        <v>363</v>
      </c>
      <c r="I33" s="120">
        <v>43</v>
      </c>
      <c r="J33" s="121">
        <v>7</v>
      </c>
      <c r="K33" s="119">
        <v>50</v>
      </c>
    </row>
    <row r="34" spans="1:11" ht="30" customHeight="1" thickBot="1" x14ac:dyDescent="0.25">
      <c r="A34" s="116">
        <v>33</v>
      </c>
      <c r="B34" s="117" t="s">
        <v>262</v>
      </c>
      <c r="C34" s="120">
        <v>2573</v>
      </c>
      <c r="D34" s="118">
        <f t="shared" si="0"/>
        <v>2050</v>
      </c>
      <c r="E34" s="120">
        <v>30</v>
      </c>
      <c r="F34" s="119">
        <v>523</v>
      </c>
      <c r="G34" s="119">
        <v>267</v>
      </c>
      <c r="H34" s="119">
        <v>256</v>
      </c>
      <c r="I34" s="120">
        <v>40</v>
      </c>
      <c r="J34" s="121"/>
      <c r="K34" s="119">
        <v>40</v>
      </c>
    </row>
    <row r="35" spans="1:11" ht="28.5" customHeight="1" thickBot="1" x14ac:dyDescent="0.25">
      <c r="A35" s="116">
        <v>34</v>
      </c>
      <c r="B35" s="117" t="s">
        <v>263</v>
      </c>
      <c r="C35" s="120">
        <v>7326</v>
      </c>
      <c r="D35" s="118">
        <f t="shared" si="0"/>
        <v>5842</v>
      </c>
      <c r="E35" s="120">
        <v>115</v>
      </c>
      <c r="F35" s="119">
        <v>1484</v>
      </c>
      <c r="G35" s="119">
        <v>744</v>
      </c>
      <c r="H35" s="119">
        <v>740</v>
      </c>
      <c r="I35" s="120">
        <v>45</v>
      </c>
      <c r="J35" s="121"/>
      <c r="K35" s="119">
        <v>45</v>
      </c>
    </row>
    <row r="36" spans="1:11" ht="30" customHeight="1" thickBot="1" x14ac:dyDescent="0.25">
      <c r="A36" s="116">
        <v>35</v>
      </c>
      <c r="B36" s="117" t="s">
        <v>264</v>
      </c>
      <c r="C36" s="120">
        <v>2652</v>
      </c>
      <c r="D36" s="118">
        <f t="shared" si="0"/>
        <v>2080</v>
      </c>
      <c r="E36" s="120">
        <v>36</v>
      </c>
      <c r="F36" s="119">
        <v>572</v>
      </c>
      <c r="G36" s="119">
        <v>304</v>
      </c>
      <c r="H36" s="119">
        <v>268</v>
      </c>
      <c r="I36" s="120">
        <v>41</v>
      </c>
      <c r="J36" s="121">
        <v>37</v>
      </c>
      <c r="K36" s="119">
        <v>78</v>
      </c>
    </row>
    <row r="37" spans="1:11" ht="30" customHeight="1" thickBot="1" x14ac:dyDescent="0.25">
      <c r="A37" s="116">
        <v>36</v>
      </c>
      <c r="B37" s="117" t="s">
        <v>265</v>
      </c>
      <c r="C37" s="120">
        <v>2086</v>
      </c>
      <c r="D37" s="118">
        <f t="shared" si="0"/>
        <v>1632</v>
      </c>
      <c r="E37" s="120">
        <v>35</v>
      </c>
      <c r="F37" s="119">
        <v>454</v>
      </c>
      <c r="G37" s="119">
        <v>232</v>
      </c>
      <c r="H37" s="119">
        <v>222</v>
      </c>
      <c r="I37" s="120">
        <v>53</v>
      </c>
      <c r="J37" s="121">
        <v>23</v>
      </c>
      <c r="K37" s="119">
        <v>76</v>
      </c>
    </row>
    <row r="38" spans="1:11" ht="30" customHeight="1" thickBot="1" x14ac:dyDescent="0.25">
      <c r="A38" s="116">
        <v>37</v>
      </c>
      <c r="B38" s="117" t="s">
        <v>266</v>
      </c>
      <c r="C38" s="120">
        <v>5777</v>
      </c>
      <c r="D38" s="118">
        <f t="shared" si="0"/>
        <v>4574</v>
      </c>
      <c r="E38" s="120">
        <v>97</v>
      </c>
      <c r="F38" s="119">
        <v>1203</v>
      </c>
      <c r="G38" s="119">
        <v>637</v>
      </c>
      <c r="H38" s="119">
        <v>566</v>
      </c>
      <c r="I38" s="120">
        <v>77</v>
      </c>
      <c r="J38" s="121"/>
      <c r="K38" s="119">
        <v>77</v>
      </c>
    </row>
    <row r="39" spans="1:11" ht="30" customHeight="1" thickBot="1" x14ac:dyDescent="0.25">
      <c r="A39" s="116">
        <v>38</v>
      </c>
      <c r="B39" s="117" t="s">
        <v>267</v>
      </c>
      <c r="C39" s="120">
        <v>2707</v>
      </c>
      <c r="D39" s="118">
        <f t="shared" si="0"/>
        <v>2089</v>
      </c>
      <c r="E39" s="120">
        <v>30</v>
      </c>
      <c r="F39" s="119">
        <v>618</v>
      </c>
      <c r="G39" s="119">
        <v>332</v>
      </c>
      <c r="H39" s="119">
        <v>286</v>
      </c>
      <c r="I39" s="120">
        <v>56</v>
      </c>
      <c r="J39" s="121">
        <v>102</v>
      </c>
      <c r="K39" s="119">
        <v>158</v>
      </c>
    </row>
    <row r="40" spans="1:11" ht="30" customHeight="1" thickBot="1" x14ac:dyDescent="0.25">
      <c r="A40" s="116">
        <v>39</v>
      </c>
      <c r="B40" s="117" t="s">
        <v>268</v>
      </c>
      <c r="C40" s="120">
        <v>9242</v>
      </c>
      <c r="D40" s="118">
        <f t="shared" si="0"/>
        <v>7514</v>
      </c>
      <c r="E40" s="120">
        <v>155</v>
      </c>
      <c r="F40" s="119">
        <v>1728</v>
      </c>
      <c r="G40" s="119">
        <v>864</v>
      </c>
      <c r="H40" s="119">
        <v>864</v>
      </c>
      <c r="I40" s="120">
        <v>166</v>
      </c>
      <c r="J40" s="121"/>
      <c r="K40" s="119">
        <v>166</v>
      </c>
    </row>
    <row r="41" spans="1:11" ht="30" customHeight="1" thickBot="1" x14ac:dyDescent="0.25">
      <c r="A41" s="116">
        <v>40</v>
      </c>
      <c r="B41" s="117" t="s">
        <v>269</v>
      </c>
      <c r="C41" s="120">
        <v>3267</v>
      </c>
      <c r="D41" s="118">
        <f t="shared" si="0"/>
        <v>2627</v>
      </c>
      <c r="E41" s="120">
        <v>65</v>
      </c>
      <c r="F41" s="119">
        <v>640</v>
      </c>
      <c r="G41" s="119">
        <v>302</v>
      </c>
      <c r="H41" s="119">
        <v>338</v>
      </c>
      <c r="I41" s="120">
        <v>45</v>
      </c>
      <c r="J41" s="121"/>
      <c r="K41" s="119">
        <v>45</v>
      </c>
    </row>
    <row r="42" spans="1:11" ht="30" customHeight="1" thickBot="1" x14ac:dyDescent="0.25">
      <c r="A42" s="116">
        <v>41</v>
      </c>
      <c r="B42" s="117" t="s">
        <v>270</v>
      </c>
      <c r="C42" s="120">
        <v>5667</v>
      </c>
      <c r="D42" s="118">
        <f t="shared" si="0"/>
        <v>4533</v>
      </c>
      <c r="E42" s="120">
        <v>63</v>
      </c>
      <c r="F42" s="119">
        <v>1134</v>
      </c>
      <c r="G42" s="119">
        <v>591</v>
      </c>
      <c r="H42" s="119">
        <v>543</v>
      </c>
      <c r="I42" s="120">
        <v>84</v>
      </c>
      <c r="J42" s="121">
        <v>104</v>
      </c>
      <c r="K42" s="119">
        <f>J42+I42</f>
        <v>188</v>
      </c>
    </row>
    <row r="43" spans="1:11" ht="30" customHeight="1" thickBot="1" x14ac:dyDescent="0.25">
      <c r="A43" s="116">
        <v>42</v>
      </c>
      <c r="B43" s="117" t="s">
        <v>271</v>
      </c>
      <c r="C43" s="120">
        <v>9050</v>
      </c>
      <c r="D43" s="118">
        <f t="shared" si="0"/>
        <v>7161</v>
      </c>
      <c r="E43" s="120">
        <v>182</v>
      </c>
      <c r="F43" s="119">
        <v>1889</v>
      </c>
      <c r="G43" s="119">
        <v>960</v>
      </c>
      <c r="H43" s="119">
        <v>929</v>
      </c>
      <c r="I43" s="120">
        <v>141</v>
      </c>
      <c r="J43" s="121">
        <v>258</v>
      </c>
      <c r="K43" s="119">
        <f>J43+I43</f>
        <v>399</v>
      </c>
    </row>
    <row r="44" spans="1:11" ht="30" customHeight="1" thickBot="1" x14ac:dyDescent="0.25">
      <c r="A44" s="116">
        <v>43</v>
      </c>
      <c r="B44" s="117" t="s">
        <v>272</v>
      </c>
      <c r="C44" s="120">
        <v>8290</v>
      </c>
      <c r="D44" s="118">
        <f t="shared" si="0"/>
        <v>6612</v>
      </c>
      <c r="E44" s="120">
        <v>175</v>
      </c>
      <c r="F44" s="119">
        <v>1678</v>
      </c>
      <c r="G44" s="119">
        <v>876</v>
      </c>
      <c r="H44" s="119">
        <v>802</v>
      </c>
      <c r="I44" s="120">
        <v>118</v>
      </c>
      <c r="J44" s="121"/>
      <c r="K44" s="119">
        <f>J44+I44</f>
        <v>118</v>
      </c>
    </row>
    <row r="45" spans="1:11" ht="30" customHeight="1" thickBot="1" x14ac:dyDescent="0.25">
      <c r="A45" s="116">
        <v>44</v>
      </c>
      <c r="B45" s="117" t="s">
        <v>273</v>
      </c>
      <c r="C45" s="120">
        <v>2243</v>
      </c>
      <c r="D45" s="118">
        <f t="shared" si="0"/>
        <v>1738</v>
      </c>
      <c r="E45" s="120">
        <v>34</v>
      </c>
      <c r="F45" s="119">
        <v>505</v>
      </c>
      <c r="G45" s="119">
        <v>260</v>
      </c>
      <c r="H45" s="119">
        <v>245</v>
      </c>
      <c r="I45" s="120">
        <v>21</v>
      </c>
      <c r="J45" s="121"/>
      <c r="K45" s="119">
        <f>J45+I45</f>
        <v>21</v>
      </c>
    </row>
    <row r="46" spans="1:11" ht="19.5" thickBot="1" x14ac:dyDescent="0.25">
      <c r="B46" s="115"/>
      <c r="C46" s="120">
        <v>407167</v>
      </c>
      <c r="D46" s="118">
        <f>SUM(D2:D45)</f>
        <v>331402</v>
      </c>
      <c r="E46" s="118">
        <f t="shared" ref="E46:K46" si="2">SUM(E2:E45)</f>
        <v>6033</v>
      </c>
      <c r="F46" s="118">
        <f t="shared" si="2"/>
        <v>75765</v>
      </c>
      <c r="G46" s="118">
        <f t="shared" si="2"/>
        <v>38840</v>
      </c>
      <c r="H46" s="118">
        <f t="shared" si="2"/>
        <v>36925</v>
      </c>
      <c r="I46" s="118">
        <f t="shared" si="2"/>
        <v>4635</v>
      </c>
      <c r="J46" s="118">
        <f t="shared" si="2"/>
        <v>3475</v>
      </c>
      <c r="K46" s="118">
        <f t="shared" si="2"/>
        <v>8010</v>
      </c>
    </row>
    <row r="47" spans="1:11" ht="12.75" x14ac:dyDescent="0.2">
      <c r="B47" s="115"/>
      <c r="C47" s="115"/>
      <c r="D47" s="115"/>
      <c r="E47" s="115"/>
      <c r="F47" s="115"/>
      <c r="G47" s="115"/>
      <c r="H47" s="115"/>
      <c r="I47" s="115"/>
      <c r="J47" s="115"/>
      <c r="K47" s="115"/>
    </row>
    <row r="48" spans="1:11" ht="12.75" x14ac:dyDescent="0.2">
      <c r="B48" s="115"/>
      <c r="C48" s="115"/>
      <c r="D48" s="115"/>
      <c r="E48" s="115"/>
      <c r="F48" s="115"/>
      <c r="G48" s="115"/>
      <c r="H48" s="115"/>
      <c r="I48" s="115"/>
      <c r="J48" s="115"/>
      <c r="K48" s="115"/>
    </row>
    <row r="49" s="115" customFormat="1" ht="12.75" x14ac:dyDescent="0.2"/>
    <row r="50" s="115" customFormat="1" ht="12.75" x14ac:dyDescent="0.2"/>
    <row r="51" s="115" customFormat="1" ht="12.75" x14ac:dyDescent="0.2"/>
    <row r="52" s="115" customFormat="1" ht="12.75" x14ac:dyDescent="0.2"/>
    <row r="53" s="115" customFormat="1" ht="12.75" x14ac:dyDescent="0.2"/>
    <row r="54" s="115" customFormat="1" ht="12.75" x14ac:dyDescent="0.2"/>
    <row r="55" s="115" customFormat="1" ht="12.75" x14ac:dyDescent="0.2"/>
    <row r="56" s="115" customFormat="1" ht="12.75" x14ac:dyDescent="0.2"/>
    <row r="57" s="115" customFormat="1" ht="12.75" x14ac:dyDescent="0.2"/>
    <row r="58" s="115" customFormat="1" ht="12.75" x14ac:dyDescent="0.2"/>
    <row r="59" s="115" customFormat="1" ht="12.75" x14ac:dyDescent="0.2"/>
    <row r="60" s="115" customFormat="1" ht="12.75" x14ac:dyDescent="0.2"/>
    <row r="61" s="115" customFormat="1" ht="12.75" x14ac:dyDescent="0.2"/>
    <row r="62" s="115" customFormat="1" ht="12.75" x14ac:dyDescent="0.2"/>
    <row r="63" s="115" customFormat="1" ht="12.75" x14ac:dyDescent="0.2"/>
    <row r="64" s="115" customFormat="1" ht="12.75" x14ac:dyDescent="0.2"/>
    <row r="65" s="115" customFormat="1" ht="12.75" x14ac:dyDescent="0.2"/>
    <row r="66" s="115" customFormat="1" ht="12.75" x14ac:dyDescent="0.2"/>
    <row r="67" s="115" customFormat="1" ht="12.75" x14ac:dyDescent="0.2"/>
    <row r="68" s="115" customFormat="1" ht="12.75" x14ac:dyDescent="0.2"/>
    <row r="69" s="115" customFormat="1" ht="12.75" x14ac:dyDescent="0.2"/>
    <row r="70" s="115" customFormat="1" ht="12.75" x14ac:dyDescent="0.2"/>
    <row r="71" s="115" customFormat="1" ht="12.75" x14ac:dyDescent="0.2"/>
    <row r="72" s="115" customFormat="1" ht="12.75" x14ac:dyDescent="0.2"/>
    <row r="73" s="115" customFormat="1" ht="12.75" x14ac:dyDescent="0.2"/>
    <row r="74" s="115" customFormat="1" ht="12.75" x14ac:dyDescent="0.2"/>
    <row r="75" s="115" customFormat="1" ht="12.75" x14ac:dyDescent="0.2"/>
    <row r="76" s="115" customFormat="1" ht="12.75" x14ac:dyDescent="0.2"/>
    <row r="77" s="115" customFormat="1" ht="12.75" x14ac:dyDescent="0.2"/>
  </sheetData>
  <sheetProtection password="DB70" sheet="1" objects="1" scenarios="1" autoFilter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профосмотры</vt:lpstr>
      <vt:lpstr>15-17 лет</vt:lpstr>
      <vt:lpstr>Нац.проект «Здравоохранение»</vt:lpstr>
      <vt:lpstr>2510-2511 -Дети сироты</vt:lpstr>
      <vt:lpstr>2510-дети-СВОД</vt:lpstr>
      <vt:lpstr>таб. 2511 ф. 30</vt:lpstr>
      <vt:lpstr>Годы</vt:lpstr>
      <vt:lpstr>Месяцы</vt:lpstr>
      <vt:lpstr>Названия_организаций</vt:lpstr>
      <vt:lpstr>Числа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А. Черников</dc:creator>
  <cp:lastModifiedBy>ZavOrgMetod</cp:lastModifiedBy>
  <cp:revision/>
  <cp:lastPrinted>2024-07-16T12:10:48Z</cp:lastPrinted>
  <dcterms:created xsi:type="dcterms:W3CDTF">2006-09-16T00:00:00Z</dcterms:created>
  <dcterms:modified xsi:type="dcterms:W3CDTF">2024-10-02T10:42:22Z</dcterms:modified>
</cp:coreProperties>
</file>