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DB70" lockStructure="1"/>
  <bookViews>
    <workbookView xWindow="240" yWindow="225" windowWidth="14805" windowHeight="7890"/>
  </bookViews>
  <sheets>
    <sheet name="табл_1" sheetId="8" r:id="rId1"/>
    <sheet name="План" sheetId="3" state="veryHidden" r:id="rId2"/>
    <sheet name="табл.2511" sheetId="9" r:id="rId3"/>
    <sheet name="табл.2517" sheetId="10" r:id="rId4"/>
  </sheets>
  <definedNames>
    <definedName name="Год">План!$K$4:$K$10</definedName>
    <definedName name="Месяц">План!$H$4:$H$15</definedName>
    <definedName name="Названия_организаций">План!$B$5:$B$55</definedName>
    <definedName name="_xlnm.Print_Area" localSheetId="0">табл_1!$A$8:$Y$16</definedName>
    <definedName name="Число">План!$N$4:$N$34</definedName>
  </definedNames>
  <calcPr calcId="145621"/>
</workbook>
</file>

<file path=xl/calcChain.xml><?xml version="1.0" encoding="utf-8"?>
<calcChain xmlns="http://schemas.openxmlformats.org/spreadsheetml/2006/main">
  <c r="J18" i="10" l="1"/>
  <c r="I18" i="10"/>
  <c r="J20" i="10" l="1"/>
  <c r="I20" i="10"/>
  <c r="J19" i="10"/>
  <c r="H19" i="10" s="1"/>
  <c r="I19" i="10"/>
  <c r="H18" i="10"/>
  <c r="J17" i="10"/>
  <c r="I17" i="10"/>
  <c r="J16" i="10"/>
  <c r="I16" i="10"/>
  <c r="H16" i="10" s="1"/>
  <c r="D16" i="10" s="1"/>
  <c r="H20" i="10"/>
  <c r="G20" i="10" s="1"/>
  <c r="H17" i="10"/>
  <c r="G17" i="10" s="1"/>
  <c r="G18" i="10" l="1"/>
  <c r="D18" i="10" s="1"/>
  <c r="D19" i="10"/>
  <c r="G19" i="10"/>
  <c r="D17" i="10"/>
  <c r="G16" i="10"/>
  <c r="D20" i="10"/>
  <c r="E12" i="8"/>
  <c r="J4" i="10" l="1"/>
  <c r="I4" i="10"/>
  <c r="H4" i="10"/>
  <c r="G4" i="10" s="1"/>
  <c r="D4" i="10" l="1"/>
  <c r="T5" i="10" l="1"/>
  <c r="S5" i="10"/>
  <c r="R5" i="10"/>
  <c r="Q5" i="10"/>
  <c r="P5" i="10"/>
  <c r="O5" i="10"/>
  <c r="N5" i="10"/>
  <c r="M5" i="10"/>
  <c r="L5" i="10"/>
  <c r="K5" i="10"/>
  <c r="AG11" i="8" l="1"/>
  <c r="B1" i="10" l="1"/>
  <c r="AN20" i="8" l="1"/>
  <c r="AL20" i="8"/>
  <c r="B5" i="10" l="1"/>
  <c r="AD13" i="8"/>
  <c r="AD11" i="8"/>
  <c r="AE13" i="8"/>
  <c r="AE11" i="8"/>
  <c r="F12" i="8"/>
  <c r="AG13" i="8"/>
  <c r="V14" i="8"/>
  <c r="V15" i="8"/>
  <c r="V12" i="8"/>
  <c r="I11" i="10" l="1"/>
  <c r="I7" i="10"/>
  <c r="I13" i="10"/>
  <c r="I15" i="10"/>
  <c r="I9" i="10"/>
  <c r="V25" i="8"/>
  <c r="B4" i="10"/>
  <c r="V26" i="8"/>
  <c r="C5" i="10"/>
  <c r="J5" i="10" s="1"/>
  <c r="V16" i="8"/>
  <c r="R11" i="8"/>
  <c r="J10" i="9"/>
  <c r="H10" i="9"/>
  <c r="J9" i="9"/>
  <c r="H9" i="9"/>
  <c r="F10" i="9"/>
  <c r="F9" i="9"/>
  <c r="S12" i="8"/>
  <c r="T12" i="8"/>
  <c r="U12" i="8"/>
  <c r="W12" i="8"/>
  <c r="X12" i="8"/>
  <c r="Y12" i="8"/>
  <c r="S14" i="8"/>
  <c r="T14" i="8"/>
  <c r="U14" i="8"/>
  <c r="W14" i="8"/>
  <c r="X14" i="8"/>
  <c r="Y14" i="8"/>
  <c r="W15" i="8"/>
  <c r="AP20" i="8" s="1"/>
  <c r="J15" i="10" l="1"/>
  <c r="H15" i="10" s="1"/>
  <c r="G15" i="10" s="1"/>
  <c r="D15" i="10" s="1"/>
  <c r="J11" i="10"/>
  <c r="J7" i="10"/>
  <c r="H7" i="10" s="1"/>
  <c r="J13" i="10"/>
  <c r="H13" i="10" s="1"/>
  <c r="J9" i="10"/>
  <c r="H9" i="10" s="1"/>
  <c r="G9" i="10" s="1"/>
  <c r="D9" i="10" s="1"/>
  <c r="H11" i="10"/>
  <c r="G11" i="10" s="1"/>
  <c r="D11" i="10" s="1"/>
  <c r="I14" i="10"/>
  <c r="I12" i="10"/>
  <c r="I10" i="10"/>
  <c r="I8" i="10"/>
  <c r="I6" i="10"/>
  <c r="C4" i="10"/>
  <c r="I5" i="10" s="1"/>
  <c r="H5" i="10" s="1"/>
  <c r="G5" i="10" s="1"/>
  <c r="W25" i="8"/>
  <c r="AM20" i="8"/>
  <c r="W26" i="8"/>
  <c r="AO20" i="8"/>
  <c r="I10" i="9"/>
  <c r="AE14" i="8"/>
  <c r="K9" i="9"/>
  <c r="AE12" i="8"/>
  <c r="I9" i="9"/>
  <c r="K10" i="9"/>
  <c r="R12" i="8"/>
  <c r="W16" i="8"/>
  <c r="AQ20" i="8" s="1"/>
  <c r="G13" i="10" l="1"/>
  <c r="D13" i="10"/>
  <c r="G7" i="10"/>
  <c r="D7" i="10" s="1"/>
  <c r="D5" i="10"/>
  <c r="AK20" i="8"/>
  <c r="J14" i="10"/>
  <c r="H14" i="10" s="1"/>
  <c r="G14" i="10" s="1"/>
  <c r="D14" i="10" s="1"/>
  <c r="J8" i="10"/>
  <c r="H8" i="10" s="1"/>
  <c r="G8" i="10" s="1"/>
  <c r="D8" i="10" s="1"/>
  <c r="J6" i="10"/>
  <c r="H6" i="10" s="1"/>
  <c r="J10" i="10"/>
  <c r="H10" i="10" s="1"/>
  <c r="J12" i="10"/>
  <c r="H12" i="10" s="1"/>
  <c r="C12" i="8"/>
  <c r="C9" i="9" s="1"/>
  <c r="L12" i="8"/>
  <c r="G9" i="9" s="1"/>
  <c r="K12" i="8"/>
  <c r="J12" i="8"/>
  <c r="I12" i="8"/>
  <c r="AD12" i="8" l="1"/>
  <c r="G10" i="10"/>
  <c r="D10" i="10" s="1"/>
  <c r="G6" i="10"/>
  <c r="D6" i="10" s="1"/>
  <c r="G12" i="10"/>
  <c r="D12" i="10" s="1"/>
  <c r="AG12" i="8"/>
  <c r="P14" i="8"/>
  <c r="O14" i="8"/>
  <c r="N14" i="8"/>
  <c r="M14" i="8"/>
  <c r="L14" i="8"/>
  <c r="G10" i="9" s="1"/>
  <c r="K14" i="8"/>
  <c r="J14" i="8"/>
  <c r="I14" i="8"/>
  <c r="H14" i="8"/>
  <c r="G14" i="8"/>
  <c r="F14" i="8"/>
  <c r="E14" i="8"/>
  <c r="H12" i="8"/>
  <c r="G12" i="8"/>
  <c r="AD14" i="8" l="1"/>
  <c r="AG14" i="8"/>
  <c r="R14" i="8"/>
  <c r="D14" i="8"/>
  <c r="D12" i="8"/>
  <c r="Y16" i="8"/>
  <c r="X16" i="8"/>
  <c r="U16" i="8"/>
  <c r="T16" i="8"/>
  <c r="S16" i="8"/>
  <c r="P16" i="8"/>
  <c r="O16" i="8"/>
  <c r="N16" i="8"/>
  <c r="M16" i="8"/>
  <c r="L16" i="8"/>
  <c r="G8" i="9" s="1"/>
  <c r="K16" i="8"/>
  <c r="J16" i="8"/>
  <c r="I16" i="8"/>
  <c r="H16" i="8"/>
  <c r="G16" i="8"/>
  <c r="F16" i="8"/>
  <c r="Y15" i="8"/>
  <c r="X15" i="8"/>
  <c r="U15" i="8"/>
  <c r="T15" i="8"/>
  <c r="S15" i="8"/>
  <c r="P15" i="8"/>
  <c r="O15" i="8"/>
  <c r="N15" i="8"/>
  <c r="M15" i="8"/>
  <c r="L15" i="8"/>
  <c r="F8" i="9" s="1"/>
  <c r="K15" i="8"/>
  <c r="J15" i="8"/>
  <c r="I15" i="8"/>
  <c r="H15" i="8"/>
  <c r="G15" i="8"/>
  <c r="F15" i="8"/>
  <c r="E15" i="8"/>
  <c r="E10" i="9" l="1"/>
  <c r="AO19" i="8"/>
  <c r="E9" i="9"/>
  <c r="AM19" i="8"/>
  <c r="AD15" i="8"/>
  <c r="AD16" i="8"/>
  <c r="H8" i="9"/>
  <c r="I8" i="9"/>
  <c r="AE15" i="8"/>
  <c r="AE16" i="8"/>
  <c r="J8" i="9"/>
  <c r="K8" i="9"/>
  <c r="AG15" i="8"/>
  <c r="AG16" i="8"/>
  <c r="E16" i="8"/>
  <c r="C14" i="8"/>
  <c r="C10" i="9" s="1"/>
  <c r="D56" i="3" l="1"/>
  <c r="E56" i="3"/>
  <c r="C56" i="3"/>
  <c r="AA13" i="8" l="1"/>
  <c r="AB13" i="8"/>
  <c r="H26" i="8" l="1"/>
  <c r="AA14" i="8" l="1"/>
  <c r="Z23" i="8" l="1"/>
  <c r="Z22" i="8"/>
  <c r="AO16" i="8" l="1"/>
  <c r="AN16" i="8"/>
  <c r="AM16" i="8"/>
  <c r="AL16" i="8"/>
  <c r="AK16" i="8" s="1"/>
  <c r="AM15" i="8" l="1"/>
  <c r="AN15" i="8"/>
  <c r="AO15" i="8"/>
  <c r="AL15" i="8"/>
  <c r="AK15" i="8" s="1"/>
  <c r="B7" i="8"/>
  <c r="A2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BA14" i="8"/>
  <c r="BB14" i="8"/>
  <c r="BC14" i="8"/>
  <c r="BD14" i="8"/>
  <c r="BE14" i="8"/>
  <c r="BA13" i="8"/>
  <c r="BB13" i="8"/>
  <c r="BC13" i="8"/>
  <c r="BD13" i="8"/>
  <c r="BE13" i="8"/>
  <c r="AN13" i="8"/>
  <c r="AP13" i="8"/>
  <c r="AQ13" i="8"/>
  <c r="AS13" i="8"/>
  <c r="AU13" i="8"/>
  <c r="AV13" i="8"/>
  <c r="AW13" i="8"/>
  <c r="AX13" i="8"/>
  <c r="E26" i="8" l="1"/>
  <c r="R16" i="8"/>
  <c r="R13" i="8"/>
  <c r="AF13" i="8" s="1"/>
  <c r="AF14" i="8"/>
  <c r="AC14" i="8"/>
  <c r="AC13" i="8"/>
  <c r="AF11" i="8" l="1"/>
  <c r="R15" i="8"/>
  <c r="AN18" i="8"/>
  <c r="AZ14" i="8"/>
  <c r="AO18" i="8"/>
  <c r="AL18" i="8"/>
  <c r="AZ13" i="8"/>
  <c r="D11" i="8"/>
  <c r="D9" i="9" l="1"/>
  <c r="AL19" i="8"/>
  <c r="R26" i="8"/>
  <c r="R25" i="8"/>
  <c r="S25" i="8"/>
  <c r="T25" i="8"/>
  <c r="U25" i="8"/>
  <c r="S26" i="8"/>
  <c r="T26" i="8"/>
  <c r="U26" i="8"/>
  <c r="X25" i="8"/>
  <c r="X26" i="8"/>
  <c r="AD26" i="8" l="1"/>
  <c r="AD25" i="8"/>
  <c r="E25" i="8"/>
  <c r="G25" i="8"/>
  <c r="F26" i="8"/>
  <c r="G26" i="8"/>
  <c r="C13" i="8" l="1"/>
  <c r="B10" i="9" s="1"/>
  <c r="AL14" i="8" l="1"/>
  <c r="AO12" i="8"/>
  <c r="AN12" i="8"/>
  <c r="AL12" i="8"/>
  <c r="C15" i="8" l="1"/>
  <c r="B8" i="9" s="1"/>
  <c r="C11" i="8"/>
  <c r="B9" i="9" s="1"/>
  <c r="AL13" i="8" l="1"/>
  <c r="C26" i="8"/>
  <c r="C25" i="8"/>
  <c r="AL11" i="8" l="1"/>
  <c r="AL17" i="8"/>
  <c r="AP12" i="8"/>
  <c r="AB11" i="8"/>
  <c r="AJ20" i="8" l="1"/>
  <c r="C16" i="8"/>
  <c r="C8" i="9" s="1"/>
  <c r="Y25" i="8"/>
  <c r="AE25" i="8" s="1"/>
  <c r="Y26" i="8"/>
  <c r="AE26" i="8" s="1"/>
  <c r="Z20" i="8" l="1"/>
  <c r="AB15" i="8"/>
  <c r="AB14" i="8"/>
  <c r="M29" i="8" l="1"/>
  <c r="N29" i="8"/>
  <c r="O29" i="8"/>
  <c r="P29" i="8"/>
  <c r="P28" i="8"/>
  <c r="O28" i="8"/>
  <c r="N28" i="8"/>
  <c r="M28" i="8"/>
  <c r="D13" i="8"/>
  <c r="K26" i="8"/>
  <c r="I25" i="8"/>
  <c r="K25" i="8"/>
  <c r="I26" i="8"/>
  <c r="J26" i="8"/>
  <c r="AG26" i="8" s="1"/>
  <c r="L26" i="8"/>
  <c r="AF26" i="8" s="1"/>
  <c r="M26" i="8"/>
  <c r="N26" i="8"/>
  <c r="O26" i="8"/>
  <c r="P26" i="8"/>
  <c r="Q11" i="8"/>
  <c r="D10" i="9" l="1"/>
  <c r="AN19" i="8"/>
  <c r="Q15" i="8"/>
  <c r="AA15" i="8" s="1"/>
  <c r="AA11" i="8"/>
  <c r="P30" i="8"/>
  <c r="AC26" i="8"/>
  <c r="AO17" i="8"/>
  <c r="AL26" i="8"/>
  <c r="AN26" i="8"/>
  <c r="AM26" i="8"/>
  <c r="AM25" i="8"/>
  <c r="AL25" i="8"/>
  <c r="AN25" i="8"/>
  <c r="AM14" i="8"/>
  <c r="AN17" i="8"/>
  <c r="M30" i="8"/>
  <c r="AB26" i="8"/>
  <c r="AA26" i="8"/>
  <c r="N30" i="8"/>
  <c r="O30" i="8"/>
  <c r="AN11" i="8"/>
  <c r="AO11" i="8"/>
  <c r="D15" i="8"/>
  <c r="D26" i="8"/>
  <c r="D8" i="9" l="1"/>
  <c r="AP19" i="8"/>
  <c r="AK14" i="8"/>
  <c r="AJ14" i="8" s="1"/>
  <c r="Z14" i="8" s="1"/>
  <c r="AK25" i="8"/>
  <c r="AJ25" i="8" s="1"/>
  <c r="AK26" i="8"/>
  <c r="AJ26" i="8" s="1"/>
  <c r="AP17" i="8"/>
  <c r="AN27" i="8"/>
  <c r="AL27" i="8"/>
  <c r="AM27" i="8"/>
  <c r="AJ16" i="8"/>
  <c r="Z16" i="8"/>
  <c r="AJ15" i="8"/>
  <c r="Z15" i="8" s="1"/>
  <c r="AC15" i="8"/>
  <c r="AF15" i="8"/>
  <c r="AP11" i="8"/>
  <c r="AK27" i="8" l="1"/>
  <c r="AJ27" i="8" s="1"/>
  <c r="AP18" i="8"/>
  <c r="AF12" i="8" l="1"/>
  <c r="L25" i="8"/>
  <c r="AF25" i="8" s="1"/>
  <c r="AT13" i="8"/>
  <c r="AQ18" i="8"/>
  <c r="Q12" i="8"/>
  <c r="AM18" i="8"/>
  <c r="AK18" i="8" s="1"/>
  <c r="AJ18" i="8" l="1"/>
  <c r="Z18" i="8" s="1"/>
  <c r="AY13" i="8"/>
  <c r="Q16" i="8"/>
  <c r="Q25" i="8"/>
  <c r="AA25" i="8" s="1"/>
  <c r="AF16" i="8"/>
  <c r="AA12" i="8"/>
  <c r="AC16" i="8" l="1"/>
  <c r="AA16" i="8"/>
  <c r="J25" i="8"/>
  <c r="AG25" i="8" s="1"/>
  <c r="AB12" i="8"/>
  <c r="AR13" i="8"/>
  <c r="AB16" i="8"/>
  <c r="AM12" i="8"/>
  <c r="AL24" i="8"/>
  <c r="AB25" i="8" l="1"/>
  <c r="AM24" i="8"/>
  <c r="AM17" i="8"/>
  <c r="AN24" i="8"/>
  <c r="D16" i="8"/>
  <c r="AM13" i="8"/>
  <c r="AQ12" i="8"/>
  <c r="AK12" i="8" s="1"/>
  <c r="AM11" i="8"/>
  <c r="D25" i="8"/>
  <c r="E8" i="9" l="1"/>
  <c r="AQ19" i="8"/>
  <c r="AK19" i="8" s="1"/>
  <c r="AK24" i="8"/>
  <c r="AJ24" i="8" s="1"/>
  <c r="AJ12" i="8"/>
  <c r="Z12" i="8" s="1"/>
  <c r="AM28" i="8"/>
  <c r="AO13" i="8"/>
  <c r="AK13" i="8" s="1"/>
  <c r="F25" i="8"/>
  <c r="AL28" i="8"/>
  <c r="AN28" i="8"/>
  <c r="AQ17" i="8"/>
  <c r="AK17" i="8" s="1"/>
  <c r="AQ11" i="8"/>
  <c r="AK11" i="8" s="1"/>
  <c r="AJ19" i="8" l="1"/>
  <c r="Z19" i="8"/>
  <c r="AK28" i="8"/>
  <c r="AJ28" i="8" s="1"/>
  <c r="AJ23" i="8" s="1"/>
  <c r="AJ21" i="8" s="1"/>
  <c r="AJ17" i="8"/>
  <c r="Z17" i="8" s="1"/>
  <c r="AJ13" i="8"/>
  <c r="Z13" i="8" s="1"/>
  <c r="AJ11" i="8"/>
  <c r="Z11" i="8" s="1"/>
  <c r="H25" i="8"/>
  <c r="AK23" i="8" l="1"/>
  <c r="AK21" i="8" s="1"/>
  <c r="Z21" i="8" s="1"/>
</calcChain>
</file>

<file path=xl/sharedStrings.xml><?xml version="1.0" encoding="utf-8"?>
<sst xmlns="http://schemas.openxmlformats.org/spreadsheetml/2006/main" count="308" uniqueCount="228">
  <si>
    <t xml:space="preserve">Наименование медицинской организации </t>
  </si>
  <si>
    <t>№ п/п</t>
  </si>
  <si>
    <t>Ф.И.О. главного врача</t>
  </si>
  <si>
    <t>Ф.И.О. исполнителя</t>
  </si>
  <si>
    <t>Наименование медицинской организации</t>
  </si>
  <si>
    <t>Взрослое население, подлежащее проведению диспансеризации, направленной на оценку репродуктивного здоровья</t>
  </si>
  <si>
    <t>Общее число лиц,</t>
  </si>
  <si>
    <t>Число мужчин в возрасте 18-49 лет</t>
  </si>
  <si>
    <t>Число женщин в возрасте 18-49 лет</t>
  </si>
  <si>
    <t>ИТОГО</t>
  </si>
  <si>
    <t>число</t>
  </si>
  <si>
    <t>год</t>
  </si>
  <si>
    <t>Х</t>
  </si>
  <si>
    <t>ГУЗ "Поликлиника № 4"</t>
  </si>
  <si>
    <t>ГУЗ "Клиническая поликлиника № 28"</t>
  </si>
  <si>
    <t>ГУЗ "Поликлиника № 30"</t>
  </si>
  <si>
    <t>ГУЗ "Поликлиника № 5"</t>
  </si>
  <si>
    <t>ГУЗ "Больница № 16"</t>
  </si>
  <si>
    <t>ГУЗ "Больница №22"</t>
  </si>
  <si>
    <t>ГУЗ "КБСМП № 15"</t>
  </si>
  <si>
    <t xml:space="preserve">ГУЗ "Поликлиника № 2"  </t>
  </si>
  <si>
    <t>ГУЗ "КБ СМП № 7"</t>
  </si>
  <si>
    <t>ГУЗ "Клиническая больница № 11"</t>
  </si>
  <si>
    <t>ГУЗ "Клиническая поликлиника № 1"</t>
  </si>
  <si>
    <t>ГАУЗ "Клиническая поликлиника №3"</t>
  </si>
  <si>
    <t>ГБУЗ "ГКБ № 1 им. С.З.Фишера"</t>
  </si>
  <si>
    <t xml:space="preserve">ГБУЗ "Городская клиническая больница №3" </t>
  </si>
  <si>
    <t>ГБУЗ "Городская больница № 2"</t>
  </si>
  <si>
    <t>ГБУЗ "Городская поликлиника №5"</t>
  </si>
  <si>
    <t>ГБУЗ "Алексеевская ЦРБ"</t>
  </si>
  <si>
    <t>ГБУЗ "Быковская ЦРБ"</t>
  </si>
  <si>
    <t>ГБУЗ "Городищенская ЦРБ"</t>
  </si>
  <si>
    <t>ГБУЗ "Даниловская ЦРБ"</t>
  </si>
  <si>
    <t>ГБУЗ Еланская ЦРБ</t>
  </si>
  <si>
    <t>ГУЗ "Жирновская ЦРБ"</t>
  </si>
  <si>
    <t>ГБУЗ "Иловлинская ЦРБ"</t>
  </si>
  <si>
    <t>ГБУЗ "Калачевская ЦРБ"</t>
  </si>
  <si>
    <t>ГБУЗ ЦГБ г.Камышина</t>
  </si>
  <si>
    <t>ГБУЗ "Киквидзенская ЦРБ"</t>
  </si>
  <si>
    <t>ГБУЗ "Котельниковская ЦРБ"</t>
  </si>
  <si>
    <t>ГБУЗ "Ленинская ЦРБ"</t>
  </si>
  <si>
    <t>ГБУЗ "Михайловская ЦРБ"</t>
  </si>
  <si>
    <t>ГБУЗ "Нехаевская ЦРБ"</t>
  </si>
  <si>
    <t>ГБУЗ "Николаевская ЦРБ"</t>
  </si>
  <si>
    <t>ГБУЗ "Новоаннинская ЦРБ"</t>
  </si>
  <si>
    <t>ГБУЗ "Новониколаевская ЦРБ"</t>
  </si>
  <si>
    <t>ГБУЗ "Октябрьская ЦРБ"</t>
  </si>
  <si>
    <t xml:space="preserve">ГБУЗ "Палласовская ЦРБ"  </t>
  </si>
  <si>
    <t>ГБУЗ "Кумылженская ЦРБ"</t>
  </si>
  <si>
    <t>ГБУЗ "Светлоярская ЦРБ"</t>
  </si>
  <si>
    <t>ГБУЗ "Серафимовичская ЦРБ"</t>
  </si>
  <si>
    <t>ГБУЗ "Среднеахтубинская ЦРБ"</t>
  </si>
  <si>
    <t>ГБУЗ "Старополтавская ЦРБ"</t>
  </si>
  <si>
    <t>ГБУЗ Урюпинская ЦРБ</t>
  </si>
  <si>
    <t>ГБУЗ "Фроловская ЦРБ"</t>
  </si>
  <si>
    <t>ГБУЗ "Чернышковская ЦРБ"</t>
  </si>
  <si>
    <t>ЧУЗ КБ РЖД-Медицина</t>
  </si>
  <si>
    <t>Подлежит осмотрам, чел.</t>
  </si>
  <si>
    <t>характер ошибки</t>
  </si>
  <si>
    <t>№ строки</t>
  </si>
  <si>
    <t>в том числе сельских жителей</t>
  </si>
  <si>
    <t xml:space="preserve"> прием (осмотр) врачом акушером-гинекологом первичный, включая  пальпацию молочных желез и осмотр шейки матки в зеркалах с забором материала на исследование</t>
  </si>
  <si>
    <t>число отклонений на 1-го пациента (всегда больше или равно "1")</t>
  </si>
  <si>
    <t>гр. 3 больше либо равна  гр. 4 по всем строкам</t>
  </si>
  <si>
    <t>Общее число лиц в возрасте 18-49 лет</t>
  </si>
  <si>
    <t>микроско-пическое исследование влагалищных мазков</t>
  </si>
  <si>
    <t xml:space="preserve">цитоло-гическое исследование мазка (соскоба) с шейки матки с окрашиванием по Папаниколау </t>
  </si>
  <si>
    <t>Число</t>
  </si>
  <si>
    <t>Месяц</t>
  </si>
  <si>
    <t>Год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</si>
  <si>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</si>
  <si>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</si>
  <si>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</si>
  <si>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</si>
  <si>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</si>
  <si>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</si>
  <si>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</si>
  <si>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</si>
  <si>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</si>
  <si>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</si>
  <si>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</si>
  <si>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</si>
  <si>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Выводимая ошибка</t>
  </si>
  <si>
    <t>Условия</t>
  </si>
  <si>
    <t>гр. 3 &lt;  гр.4</t>
  </si>
  <si>
    <t xml:space="preserve">Из прошедших 1 этап (гр.4) </t>
  </si>
  <si>
    <t>прошли обследование в вечернее время</t>
  </si>
  <si>
    <t>в субботу</t>
  </si>
  <si>
    <t xml:space="preserve">Определены группы здоровья (тип диспансеризации - ДР1, результат обращения в соответствии с кодом) </t>
  </si>
  <si>
    <t xml:space="preserve">Определены группы здоровья по результатам 2 этапа диспансеризации (тип диспансеризации - ДР2, результат обращения в соответствии с кодом) </t>
  </si>
  <si>
    <r>
      <rPr>
        <b/>
        <sz val="12"/>
        <color theme="1"/>
        <rFont val="Arial"/>
        <family val="2"/>
        <charset val="204"/>
      </rPr>
      <t>у женщин в возрасте 18 - 29 лет</t>
    </r>
    <r>
      <rPr>
        <sz val="12"/>
        <color theme="1"/>
        <rFont val="Arial"/>
        <family val="2"/>
        <charset val="204"/>
      </rPr>
      <t xml:space="preserve"> проведение лабораторных исследований мазков в целях выявления возбудителей инфекционных заболеваний органов малого таза методом полимеразной цепной реакции</t>
    </r>
  </si>
  <si>
    <t>Категории лиц,                  подлежащих осмотру</t>
  </si>
  <si>
    <t>стр.1 больше либо равна стр.1.1 по всем графам</t>
  </si>
  <si>
    <t>стр.1 &lt; стр.1.1</t>
  </si>
  <si>
    <t>стр.2 больше либо равна стр.2.1 по всем графам</t>
  </si>
  <si>
    <t>стр.2 &lt; стр.2.1</t>
  </si>
  <si>
    <t>гр.11 &lt; любой из гр.12,13,14,15 по стр.2</t>
  </si>
  <si>
    <t>гр.11 &lt; любой из гр.12,13,14,15 по стр.2.1</t>
  </si>
  <si>
    <t>стр. 1.1 ≥ стр.1</t>
  </si>
  <si>
    <t>стр. 2.1 ≥ стр.2</t>
  </si>
  <si>
    <t xml:space="preserve">гр.11 &lt; любой из гр.12,13,14,15  </t>
  </si>
  <si>
    <t>1.1</t>
  </si>
  <si>
    <t>2.1</t>
  </si>
  <si>
    <t>3.1</t>
  </si>
  <si>
    <t>не село</t>
  </si>
  <si>
    <t>Контроли</t>
  </si>
  <si>
    <t>гр.4 больше или равна любой из граф 5,6,7 по всем строкам</t>
  </si>
  <si>
    <t>№ графы</t>
  </si>
  <si>
    <t>гр. 12 &gt; гр. 4</t>
  </si>
  <si>
    <t>гр. 12 меньше либо равна  гр. 4 по всем строкам</t>
  </si>
  <si>
    <t>гр. 12 &gt; суммы  граф 10, 11</t>
  </si>
  <si>
    <t>гр. 12 меньше либо равна сумме  граф 10,11 по всем строкам</t>
  </si>
  <si>
    <t>гр.12 больше либо равна любой из граф гр.: 13,14,15,16 по стр.2</t>
  </si>
  <si>
    <t xml:space="preserve">гр.12 &lt; </t>
  </si>
  <si>
    <t>гр.12 больше либо равна любой из граф гр.: 13,14,15,16 по стр.2.1</t>
  </si>
  <si>
    <t>гр. 18 меньше либо равна  гр.12 по всем строкам</t>
  </si>
  <si>
    <t>гр. 18 &gt;  гр.12</t>
  </si>
  <si>
    <t>гр. 23 &gt;  гр.22</t>
  </si>
  <si>
    <t>гр. 23 меньше либо равна  гр.22 по всем строкам</t>
  </si>
  <si>
    <t>гр.4 &lt; любой из гр.5,6,7,8</t>
  </si>
  <si>
    <t>гр.4 больше или равна любой из граф 5,6,7, 8 по всем строкам</t>
  </si>
  <si>
    <t>сумма гр.13,14,15,16 больше или равна гр.12 по строке 2</t>
  </si>
  <si>
    <t>сумма гр.13,14,15,16 больше или равна гр.12 по строке 2.1</t>
  </si>
  <si>
    <t>сумма граф 13,14,15,16 &lt; гр.12 по строке 2</t>
  </si>
  <si>
    <t>сумма граф 13,14,15,16 &lt; гр.12 по строке 2.1</t>
  </si>
  <si>
    <t>из них (гр.12)  патологические состояния выявлены  при оказании медицинских услуг (следует указать все патологические состояния, выявленные у пациента, и относящиеся к одной из граф)</t>
  </si>
  <si>
    <t>№ тел. исполнителя</t>
  </si>
  <si>
    <t>ГБУЗ "ЦРБ Дубовского мр"</t>
  </si>
  <si>
    <t>ГБУЗ г.Камышина "ГБ № 1"</t>
  </si>
  <si>
    <t>ГБУЗ "ЦРБ Клетского мр"</t>
  </si>
  <si>
    <t>ГБУЗ ЦРБ Котовского мр</t>
  </si>
  <si>
    <t>ГБУЗ "ЦРБ Ольховского мр"</t>
  </si>
  <si>
    <t>ГБУ "ЦРБ Руднянского мр"</t>
  </si>
  <si>
    <t>ГБУЗ "ЦРБ Суровикинского мр"</t>
  </si>
  <si>
    <t>Направлено на лечение после проведения дополнительных обследований и уточнения диагноза, чел.  (из гр.18)</t>
  </si>
  <si>
    <t>Пролечено из числа направленных, чел. (из гр.22)</t>
  </si>
  <si>
    <t>Прошли 1 этап, чел.</t>
  </si>
  <si>
    <t>Прошли 2 этап</t>
  </si>
  <si>
    <t>в гр.C12</t>
  </si>
  <si>
    <t>в гр.C14</t>
  </si>
  <si>
    <t>направлено на 2 этап из 1 группы</t>
  </si>
  <si>
    <t xml:space="preserve"> направлено на 2 этап без показаний</t>
  </si>
  <si>
    <t>направлено на лечение больше, чем сумма 2 и 3 групп 1 и 2 этапа</t>
  </si>
  <si>
    <t xml:space="preserve"> пролечено больше, чем направлено</t>
  </si>
  <si>
    <t>прошли 2 этап больше, чем направлено</t>
  </si>
  <si>
    <t>1 группа на ДН</t>
  </si>
  <si>
    <t>табл. 2511 формы № 30</t>
  </si>
  <si>
    <t>Подлежало осмотрам</t>
  </si>
  <si>
    <t>из них сельских жителей</t>
  </si>
  <si>
    <t>Осмотрено</t>
  </si>
  <si>
    <t>Выявлена патология</t>
  </si>
  <si>
    <t>Направлено на лечение</t>
  </si>
  <si>
    <t>Пролечено</t>
  </si>
  <si>
    <t>Всего</t>
  </si>
  <si>
    <t>Осмотрено пациентов в возрасте 15-17 лет, всего</t>
  </si>
  <si>
    <t>х</t>
  </si>
  <si>
    <t>из них: мальчиков (урологом-андрологом)</t>
  </si>
  <si>
    <t>девочек (акушером-гинекологом)</t>
  </si>
  <si>
    <t>Осмотрено пациентов в возрасте 18-49 лет, всего</t>
  </si>
  <si>
    <t>из них мужчин (врачом-урологом, при его отсутствии врачом-хирургом, прошедшим подготовку по вопросам репродуктивного здоровья у мужчин)</t>
  </si>
  <si>
    <t>женщин (врачом акушером-гинекологом)</t>
  </si>
  <si>
    <t>табл. 2517 формы № 30</t>
  </si>
  <si>
    <t>Общее число пациентов, состоявших в отчетном году под диспансерным наблюдением с патологией репродуктивного здоровья</t>
  </si>
  <si>
    <t xml:space="preserve">    из них женщин</t>
  </si>
  <si>
    <t>из общего число пациентов, состоявших в отчетном году под диспансерным наблюдением с патологией репродуктивного здоровья, было: госпитализировано</t>
  </si>
  <si>
    <t>стр.6 меньше либо равна стр. 4</t>
  </si>
  <si>
    <t xml:space="preserve">               из них женщин</t>
  </si>
  <si>
    <t>стр.7 меньше либо равна стр. 5</t>
  </si>
  <si>
    <t>направлено на санаторно-курортное лечение</t>
  </si>
  <si>
    <t>стр.8 меньше либо равна стр. 4</t>
  </si>
  <si>
    <t>стр.9 меньше либо равна стр. 5</t>
  </si>
  <si>
    <t xml:space="preserve">     нуждалось в оперативном лечении</t>
  </si>
  <si>
    <t>стр.10 меньше либо равна стр. 4</t>
  </si>
  <si>
    <t xml:space="preserve">              из них женщин</t>
  </si>
  <si>
    <t>стр.11 меньше либо равна стр. 5</t>
  </si>
  <si>
    <t xml:space="preserve">     оперировано</t>
  </si>
  <si>
    <t>стр.12 меньше либо равна стр. 4</t>
  </si>
  <si>
    <t>стр.13 меньше либо равна стр. 5</t>
  </si>
  <si>
    <t xml:space="preserve">     направлено на медицинскую реабилитацию</t>
  </si>
  <si>
    <t>стр.14 меньше либо равна стр. 4</t>
  </si>
  <si>
    <t xml:space="preserve">        из них женщин</t>
  </si>
  <si>
    <t>стр.15 меньше либо равна стр. 5</t>
  </si>
  <si>
    <t xml:space="preserve"> </t>
  </si>
  <si>
    <r>
      <t xml:space="preserve">число </t>
    </r>
    <r>
      <rPr>
        <b/>
        <sz val="12"/>
        <color theme="1"/>
        <rFont val="Arial"/>
        <family val="2"/>
        <charset val="204"/>
      </rPr>
      <t>мужчин</t>
    </r>
    <r>
      <rPr>
        <sz val="12"/>
        <color theme="1"/>
        <rFont val="Arial"/>
        <family val="2"/>
        <charset val="204"/>
      </rPr>
      <t xml:space="preserve"> в возрасте 18-49 лет  - всего</t>
    </r>
  </si>
  <si>
    <r>
      <t>число</t>
    </r>
    <r>
      <rPr>
        <b/>
        <sz val="12"/>
        <color theme="1"/>
        <rFont val="Arial"/>
        <family val="2"/>
        <charset val="204"/>
      </rPr>
      <t xml:space="preserve"> женщин</t>
    </r>
    <r>
      <rPr>
        <sz val="12"/>
        <color theme="1"/>
        <rFont val="Arial"/>
        <family val="2"/>
        <charset val="204"/>
      </rPr>
      <t xml:space="preserve"> в возрасте 18-49 лет  - всего</t>
    </r>
  </si>
  <si>
    <r>
      <rPr>
        <u/>
        <sz val="12"/>
        <color theme="1"/>
        <rFont val="Arial"/>
        <family val="2"/>
        <charset val="204"/>
      </rPr>
      <t xml:space="preserve">всего, </t>
    </r>
    <r>
      <rPr>
        <sz val="12"/>
        <color theme="1"/>
        <rFont val="Arial"/>
        <family val="2"/>
        <charset val="204"/>
      </rPr>
      <t>чел.</t>
    </r>
  </si>
  <si>
    <r>
      <rPr>
        <u/>
        <sz val="12"/>
        <color theme="1"/>
        <rFont val="Arial"/>
        <family val="2"/>
        <charset val="204"/>
      </rPr>
      <t>из них:</t>
    </r>
    <r>
      <rPr>
        <sz val="12"/>
        <color theme="1"/>
        <rFont val="Arial"/>
        <family val="2"/>
        <charset val="204"/>
      </rPr>
      <t xml:space="preserve"> диспансерное наблюдение </t>
    </r>
    <r>
      <rPr>
        <u/>
        <sz val="12"/>
        <color theme="1"/>
        <rFont val="Arial"/>
        <family val="2"/>
        <charset val="204"/>
      </rPr>
      <t xml:space="preserve">установлено впервые </t>
    </r>
    <r>
      <rPr>
        <sz val="12"/>
        <color theme="1"/>
        <rFont val="Arial"/>
        <family val="2"/>
        <charset val="204"/>
      </rPr>
      <t>по результатам проведения диспансеризации</t>
    </r>
  </si>
  <si>
    <r>
      <t xml:space="preserve">1 группа РЗ </t>
    </r>
    <r>
      <rPr>
        <sz val="12"/>
        <color theme="1"/>
        <rFont val="Arial"/>
        <family val="2"/>
        <charset val="204"/>
      </rPr>
      <t xml:space="preserve">(код классификатора 375) </t>
    </r>
  </si>
  <si>
    <r>
      <t xml:space="preserve">2 группа РЗ </t>
    </r>
    <r>
      <rPr>
        <sz val="12"/>
        <color theme="1"/>
        <rFont val="Arial"/>
        <family val="2"/>
        <charset val="204"/>
      </rPr>
      <t xml:space="preserve">(код классификатора 376 ) </t>
    </r>
  </si>
  <si>
    <r>
      <t xml:space="preserve">3 группа РЗ </t>
    </r>
    <r>
      <rPr>
        <sz val="12"/>
        <color theme="1"/>
        <rFont val="Arial"/>
        <family val="2"/>
        <charset val="204"/>
      </rPr>
      <t xml:space="preserve">(код классификатора 377) </t>
    </r>
  </si>
  <si>
    <r>
      <rPr>
        <b/>
        <sz val="12"/>
        <color theme="1"/>
        <rFont val="Arial"/>
        <family val="2"/>
        <charset val="204"/>
      </rPr>
      <t>прием (осмотр) врачом-урологом</t>
    </r>
    <r>
      <rPr>
        <sz val="12"/>
        <color theme="1"/>
        <rFont val="Arial"/>
        <family val="2"/>
        <charset val="204"/>
      </rPr>
      <t xml:space="preserve"> (при его отсутствии врачом-хирургом, прошедшим подготовку по вопросам репродуктивного здоровья у мужчин)</t>
    </r>
  </si>
  <si>
    <r>
      <t xml:space="preserve">2 группа РЗ </t>
    </r>
    <r>
      <rPr>
        <sz val="12"/>
        <color theme="1"/>
        <rFont val="Arial"/>
        <family val="2"/>
        <charset val="204"/>
      </rPr>
      <t xml:space="preserve">(код классификатора 376 и предварительный 378) </t>
    </r>
  </si>
  <si>
    <r>
      <t xml:space="preserve">3 группа РЗ </t>
    </r>
    <r>
      <rPr>
        <sz val="12"/>
        <color theme="1"/>
        <rFont val="Arial"/>
        <family val="2"/>
        <charset val="204"/>
      </rPr>
      <t xml:space="preserve">(код классификатора 377 и предварительный 379) </t>
    </r>
  </si>
  <si>
    <r>
      <t xml:space="preserve">с использованием мобильных </t>
    </r>
    <r>
      <rPr>
        <u/>
        <sz val="12"/>
        <color theme="1"/>
        <rFont val="Arial"/>
        <family val="2"/>
        <charset val="204"/>
      </rPr>
      <t>бригад</t>
    </r>
  </si>
  <si>
    <r>
      <t xml:space="preserve">с использованием мобильных </t>
    </r>
    <r>
      <rPr>
        <u/>
        <sz val="12"/>
        <color theme="1"/>
        <rFont val="Arial"/>
        <family val="2"/>
        <charset val="204"/>
      </rPr>
      <t>комплексов</t>
    </r>
  </si>
  <si>
    <t xml:space="preserve">Диспансеризация определенных групп взрослого населения, подлежащих проведению диспансеризации, направленной на оценку репродуктивного здоровья                                                                                                                                                                                                                                                  (приказ Комитета здравоохранения Волгоградской области № 649 от 15.03.2024г.) </t>
  </si>
  <si>
    <r>
      <rPr>
        <b/>
        <u/>
        <sz val="12"/>
        <color theme="1"/>
        <rFont val="Arial"/>
        <family val="2"/>
        <charset val="204"/>
      </rPr>
      <t>Выявлена патология</t>
    </r>
    <r>
      <rPr>
        <b/>
        <sz val="12"/>
        <color theme="1"/>
        <rFont val="Arial"/>
        <family val="2"/>
        <charset val="204"/>
      </rPr>
      <t xml:space="preserve"> - направлено на 2 этап </t>
    </r>
    <r>
      <rPr>
        <sz val="12"/>
        <color theme="1"/>
        <rFont val="Arial"/>
        <family val="2"/>
        <charset val="204"/>
      </rPr>
      <t xml:space="preserve"> (код классифи-                   катора 378 и 379), чел.</t>
    </r>
  </si>
  <si>
    <t>месяц</t>
  </si>
  <si>
    <t>гр. 22 меньше либо равна  гр.4 всем строкам</t>
  </si>
  <si>
    <t>гр. 22 &gt;  гр.4</t>
  </si>
  <si>
    <r>
      <t>Диспансеризация граждан репродуктивного возраста 18–49 лет включительно, с целью оценки репродуктивного здоровья,</t>
    </r>
    <r>
      <rPr>
        <b/>
        <sz val="10.5"/>
        <rFont val="Arial"/>
        <family val="2"/>
        <charset val="204"/>
      </rPr>
      <t xml:space="preserve"> </t>
    </r>
    <r>
      <rPr>
        <b/>
        <sz val="10"/>
        <rFont val="Times New Roman"/>
        <family val="1"/>
        <charset val="204"/>
      </rPr>
      <t>чел.</t>
    </r>
  </si>
  <si>
    <t>гр.4 меньше либо равна гр.3 по всем строкам</t>
  </si>
  <si>
    <t>Из числа прошедших диспансеризацию состояли под диспансерным наблюдением (из  графы 4)</t>
  </si>
  <si>
    <t>стр.12 меньше либо равна  стр.10 по всем графам</t>
  </si>
  <si>
    <t>стр.12 &gt; стр.10</t>
  </si>
  <si>
    <t>гр.4 &gt; гр.3</t>
  </si>
  <si>
    <t>стр.6 &gt; стр.4</t>
  </si>
  <si>
    <t>стр.7 &gt; стр.5</t>
  </si>
  <si>
    <t>стр.8 &gt; стр.4</t>
  </si>
  <si>
    <t>стр.9 &gt; стр.5</t>
  </si>
  <si>
    <t>стр.10 &gt; стр.4</t>
  </si>
  <si>
    <t>стр.11 &gt; стр.5</t>
  </si>
  <si>
    <t>стр.12 &gt; стр.4</t>
  </si>
  <si>
    <t>стр.13 &gt; стр.5</t>
  </si>
  <si>
    <t>стр.14 &gt; стр.4</t>
  </si>
  <si>
    <t>стр.15 &gt; стр.5</t>
  </si>
  <si>
    <t>стр.7 &gt; стр.6</t>
  </si>
  <si>
    <t>стр.7 меньше либо равна стр. 6</t>
  </si>
  <si>
    <t>стр.9 &gt; стр.8</t>
  </si>
  <si>
    <t>стр.9 меньше либо равна стр. 8</t>
  </si>
  <si>
    <t>стр.11 &gt; стр.10</t>
  </si>
  <si>
    <t>стр.11 меньше либо равна стр. 10</t>
  </si>
  <si>
    <t>стр.13 &gt; стр.12</t>
  </si>
  <si>
    <t>стр.13 меньше либо равна стр.12</t>
  </si>
  <si>
    <t>стр.15 &gt; стр.14</t>
  </si>
  <si>
    <t>стр.15 меньше либо равна стр.14</t>
  </si>
  <si>
    <t>Ефимов Виталий Владимирович</t>
  </si>
  <si>
    <t>Беспалов Владислав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</si>
</sst>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name val="Arial"/>
      <family val="2"/>
      <charset val="204"/>
    </font>
    <font>
      <sz val="2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FF"/>
      <name val="Calibri"/>
      <family val="2"/>
      <scheme val="minor"/>
    </font>
    <font>
      <sz val="11"/>
      <color rgb="FF0000F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rgb="FF003DB8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2"/>
      <color theme="1"/>
      <name val="Arial"/>
      <family val="2"/>
      <charset val="204"/>
    </font>
    <font>
      <sz val="11.5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</font>
    <font>
      <sz val="14"/>
      <color rgb="FF003DB8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3DB8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u/>
      <sz val="12"/>
      <color theme="1"/>
      <name val="Arial"/>
      <family val="2"/>
      <charset val="204"/>
    </font>
    <font>
      <sz val="22"/>
      <color indexed="8"/>
      <name val="Times New Roman"/>
      <family val="1"/>
      <charset val="204"/>
    </font>
    <font>
      <sz val="10"/>
      <name val="Arial Cyr"/>
      <charset val="204"/>
    </font>
    <font>
      <b/>
      <sz val="10.5"/>
      <name val="Arial"/>
      <family val="2"/>
      <charset val="204"/>
    </font>
    <font>
      <sz val="10.5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6"/>
        <bgColor indexed="64"/>
      </patternFill>
    </fill>
    <fill>
      <patternFill patternType="solid">
        <fgColor rgb="FFCCCCD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D8E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Fill="1"/>
    <xf numFmtId="165" fontId="19" fillId="0" borderId="0" xfId="0" applyNumberFormat="1" applyFont="1" applyProtection="1">
      <protection hidden="1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3" fillId="11" borderId="4" xfId="1" applyFont="1" applyFill="1" applyBorder="1" applyAlignment="1">
      <alignment horizontal="left" vertical="center"/>
    </xf>
    <xf numFmtId="0" fontId="23" fillId="12" borderId="4" xfId="1" applyFont="1" applyFill="1" applyBorder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0" fillId="12" borderId="0" xfId="0" applyFill="1"/>
    <xf numFmtId="0" fontId="24" fillId="13" borderId="4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/>
    </xf>
    <xf numFmtId="0" fontId="0" fillId="14" borderId="0" xfId="0" applyFill="1"/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5" fillId="0" borderId="0" xfId="0" applyFont="1"/>
    <xf numFmtId="0" fontId="0" fillId="0" borderId="0" xfId="0" applyFont="1" applyFill="1"/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 applyProtection="1">
      <alignment horizontal="center"/>
      <protection hidden="1"/>
    </xf>
    <xf numFmtId="0" fontId="34" fillId="0" borderId="0" xfId="0" applyFont="1" applyProtection="1">
      <protection hidden="1"/>
    </xf>
    <xf numFmtId="49" fontId="31" fillId="9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/>
    <xf numFmtId="164" fontId="1" fillId="0" borderId="0" xfId="0" applyNumberFormat="1" applyFont="1" applyFill="1" applyAlignment="1">
      <alignment horizontal="center" vertical="center"/>
    </xf>
    <xf numFmtId="0" fontId="35" fillId="0" borderId="0" xfId="0" applyFont="1" applyProtection="1"/>
    <xf numFmtId="0" fontId="36" fillId="0" borderId="0" xfId="0" applyFont="1" applyProtection="1"/>
    <xf numFmtId="0" fontId="3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0" fillId="0" borderId="0" xfId="0" applyFont="1" applyFill="1" applyBorder="1"/>
    <xf numFmtId="3" fontId="15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9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left" vertical="center" wrapText="1"/>
    </xf>
    <xf numFmtId="0" fontId="10" fillId="9" borderId="4" xfId="0" applyFont="1" applyFill="1" applyBorder="1" applyAlignment="1">
      <alignment horizontal="left" vertical="center" wrapText="1" indent="3"/>
    </xf>
    <xf numFmtId="0" fontId="13" fillId="0" borderId="0" xfId="0" applyFont="1" applyFill="1" applyBorder="1" applyAlignment="1">
      <alignment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2" fillId="0" borderId="0" xfId="0" applyFont="1"/>
    <xf numFmtId="0" fontId="40" fillId="0" borderId="0" xfId="0" applyFont="1" applyFill="1" applyAlignment="1">
      <alignment wrapText="1"/>
    </xf>
    <xf numFmtId="164" fontId="40" fillId="0" borderId="0" xfId="0" applyNumberFormat="1" applyFont="1" applyFill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1" fontId="40" fillId="2" borderId="0" xfId="0" applyNumberFormat="1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164" fontId="40" fillId="0" borderId="0" xfId="0" applyNumberFormat="1" applyFont="1" applyAlignment="1">
      <alignment horizontal="center" vertical="center"/>
    </xf>
    <xf numFmtId="1" fontId="40" fillId="3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3" borderId="0" xfId="0" applyFont="1" applyFill="1"/>
    <xf numFmtId="0" fontId="12" fillId="5" borderId="4" xfId="0" applyFont="1" applyFill="1" applyBorder="1" applyAlignment="1" applyProtection="1">
      <alignment horizontal="center" vertical="center"/>
      <protection locked="0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 applyProtection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164" fontId="44" fillId="0" borderId="0" xfId="0" applyNumberFormat="1" applyFont="1" applyAlignment="1" applyProtection="1">
      <alignment horizontal="center" vertical="center"/>
    </xf>
    <xf numFmtId="3" fontId="44" fillId="0" borderId="0" xfId="0" applyNumberFormat="1" applyFont="1" applyFill="1" applyAlignment="1">
      <alignment horizontal="center" vertical="center"/>
    </xf>
    <xf numFmtId="0" fontId="47" fillId="8" borderId="0" xfId="0" applyFont="1" applyFill="1" applyAlignment="1" applyProtection="1">
      <alignment horizontal="center" vertical="center" wrapText="1"/>
      <protection hidden="1"/>
    </xf>
    <xf numFmtId="1" fontId="11" fillId="6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48" fillId="0" borderId="0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center"/>
      <protection hidden="1"/>
    </xf>
    <xf numFmtId="0" fontId="0" fillId="15" borderId="0" xfId="0" applyFill="1" applyBorder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28" fillId="5" borderId="5" xfId="0" applyFont="1" applyFill="1" applyBorder="1" applyAlignment="1" applyProtection="1">
      <alignment vertical="center" wrapText="1"/>
      <protection locked="0"/>
    </xf>
    <xf numFmtId="0" fontId="28" fillId="5" borderId="4" xfId="0" applyFont="1" applyFill="1" applyBorder="1" applyAlignment="1" applyProtection="1">
      <alignment horizontal="right" vertical="center" wrapText="1"/>
      <protection locked="0"/>
    </xf>
    <xf numFmtId="3" fontId="28" fillId="6" borderId="4" xfId="0" applyNumberFormat="1" applyFont="1" applyFill="1" applyBorder="1" applyAlignment="1">
      <alignment horizontal="right" vertical="center" wrapText="1"/>
    </xf>
    <xf numFmtId="0" fontId="29" fillId="9" borderId="4" xfId="0" applyFont="1" applyFill="1" applyBorder="1" applyAlignment="1">
      <alignment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left" vertical="center" wrapText="1" indent="1"/>
    </xf>
    <xf numFmtId="0" fontId="29" fillId="9" borderId="5" xfId="0" applyFont="1" applyFill="1" applyBorder="1" applyAlignment="1">
      <alignment vertical="center" wrapText="1"/>
    </xf>
    <xf numFmtId="0" fontId="28" fillId="9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 indent="4"/>
    </xf>
    <xf numFmtId="3" fontId="16" fillId="6" borderId="4" xfId="0" applyNumberFormat="1" applyFont="1" applyFill="1" applyBorder="1" applyAlignment="1" applyProtection="1">
      <alignment horizontal="center" vertical="center" wrapText="1"/>
    </xf>
    <xf numFmtId="3" fontId="15" fillId="6" borderId="4" xfId="0" applyNumberFormat="1" applyFont="1" applyFill="1" applyBorder="1" applyAlignment="1" applyProtection="1">
      <alignment horizontal="center" vertical="center"/>
    </xf>
    <xf numFmtId="3" fontId="15" fillId="6" borderId="1" xfId="0" applyNumberFormat="1" applyFont="1" applyFill="1" applyBorder="1" applyAlignment="1" applyProtection="1">
      <alignment horizontal="center" vertical="center"/>
    </xf>
    <xf numFmtId="3" fontId="16" fillId="6" borderId="4" xfId="0" applyNumberFormat="1" applyFont="1" applyFill="1" applyBorder="1" applyAlignment="1" applyProtection="1">
      <alignment horizontal="center" vertical="center"/>
    </xf>
    <xf numFmtId="0" fontId="9" fillId="12" borderId="4" xfId="0" applyFont="1" applyFill="1" applyBorder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 wrapText="1"/>
    </xf>
    <xf numFmtId="0" fontId="31" fillId="12" borderId="4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39" fillId="16" borderId="4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33" fillId="16" borderId="4" xfId="0" applyFont="1" applyFill="1" applyBorder="1" applyAlignment="1">
      <alignment horizontal="center" vertical="center" wrapText="1"/>
    </xf>
    <xf numFmtId="0" fontId="31" fillId="16" borderId="4" xfId="0" applyFont="1" applyFill="1" applyBorder="1" applyAlignment="1">
      <alignment horizontal="center" vertical="center" wrapText="1"/>
    </xf>
    <xf numFmtId="0" fontId="31" fillId="16" borderId="4" xfId="0" applyFont="1" applyFill="1" applyBorder="1" applyAlignment="1">
      <alignment horizontal="center" vertical="center"/>
    </xf>
    <xf numFmtId="0" fontId="53" fillId="8" borderId="0" xfId="0" applyFont="1" applyFill="1" applyAlignment="1" applyProtection="1">
      <alignment horizontal="center" vertical="center" wrapText="1"/>
      <protection hidden="1"/>
    </xf>
    <xf numFmtId="3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3" fontId="18" fillId="5" borderId="4" xfId="0" applyNumberFormat="1" applyFont="1" applyFill="1" applyBorder="1" applyAlignment="1" applyProtection="1">
      <alignment horizontal="center" vertical="center"/>
      <protection locked="0"/>
    </xf>
    <xf numFmtId="1" fontId="44" fillId="0" borderId="0" xfId="0" applyNumberFormat="1" applyFont="1" applyFill="1" applyBorder="1" applyAlignment="1">
      <alignment horizontal="center" textRotation="90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textRotation="90"/>
    </xf>
    <xf numFmtId="0" fontId="9" fillId="16" borderId="6" xfId="0" applyFont="1" applyFill="1" applyBorder="1" applyAlignment="1">
      <alignment horizontal="center" vertical="center" textRotation="90"/>
    </xf>
    <xf numFmtId="0" fontId="17" fillId="16" borderId="1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9" fillId="16" borderId="4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/>
      <protection locked="0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center" textRotation="90" wrapText="1"/>
    </xf>
    <xf numFmtId="0" fontId="37" fillId="10" borderId="0" xfId="0" applyFont="1" applyFill="1" applyAlignment="1" applyProtection="1">
      <alignment horizontal="center" vertical="center" wrapText="1"/>
    </xf>
    <xf numFmtId="0" fontId="46" fillId="7" borderId="7" xfId="0" applyFont="1" applyFill="1" applyBorder="1" applyAlignment="1" applyProtection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0" fillId="7" borderId="7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10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0558FF"/>
      <color rgb="FFFFCCFF"/>
      <color rgb="FFFF99FF"/>
      <color rgb="FF003DB8"/>
      <color rgb="FF97FFBA"/>
      <color rgb="FF66FF99"/>
      <color rgb="FF99FF99"/>
      <color rgb="FFCCFFCC"/>
      <color rgb="FFD7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BE38"/>
  <sheetViews>
    <sheetView tabSelected="1" zoomScale="60" zoomScaleNormal="60" workbookViewId="0">
      <selection activeCell="B5" sqref="B5"/>
    </sheetView>
  </sheetViews>
  <sheetFormatPr defaultRowHeight="15" x14ac:dyDescent="0.25"/>
  <cols>
    <col min="1" max="1" width="5.42578125" style="10" customWidth="1"/>
    <col min="2" max="2" width="34.140625" style="10" customWidth="1"/>
    <col min="3" max="3" width="14" style="10" customWidth="1"/>
    <col min="4" max="4" width="12.42578125" style="10" customWidth="1"/>
    <col min="5" max="5" width="11.42578125" style="10" customWidth="1"/>
    <col min="6" max="8" width="10.85546875" style="10" customWidth="1"/>
    <col min="9" max="11" width="12.28515625" style="10" customWidth="1"/>
    <col min="12" max="12" width="16.5703125" style="10" customWidth="1"/>
    <col min="13" max="13" width="18" style="10" customWidth="1"/>
    <col min="14" max="14" width="13" style="10" customWidth="1"/>
    <col min="15" max="15" width="12.42578125" style="10" customWidth="1"/>
    <col min="16" max="16" width="19.42578125" style="10" customWidth="1"/>
    <col min="17" max="17" width="16.7109375" style="10" customWidth="1"/>
    <col min="18" max="18" width="14" style="10" customWidth="1"/>
    <col min="19" max="19" width="12.7109375" style="10" customWidth="1"/>
    <col min="20" max="20" width="13.7109375" style="10" customWidth="1"/>
    <col min="21" max="21" width="12.7109375" style="10" customWidth="1"/>
    <col min="22" max="22" width="14.85546875" style="10" customWidth="1"/>
    <col min="23" max="23" width="17.140625" style="10" customWidth="1"/>
    <col min="24" max="24" width="16" style="10" customWidth="1"/>
    <col min="25" max="25" width="14.42578125" style="10" customWidth="1"/>
    <col min="26" max="26" width="22.140625" style="10" customWidth="1"/>
    <col min="27" max="29" width="5.5703125" style="10" customWidth="1"/>
    <col min="30" max="30" width="5.85546875" style="10" customWidth="1"/>
    <col min="31" max="33" width="5.5703125" style="10" customWidth="1"/>
    <col min="34" max="34" width="34.5703125" style="10" hidden="1" customWidth="1"/>
    <col min="35" max="35" width="98.28515625" style="10" customWidth="1"/>
    <col min="36" max="36" width="12.28515625" style="34" hidden="1" customWidth="1"/>
    <col min="37" max="37" width="9.140625" style="10" hidden="1" customWidth="1"/>
    <col min="38" max="38" width="10.140625" style="10" hidden="1" customWidth="1"/>
    <col min="39" max="39" width="10.5703125" style="10" hidden="1" customWidth="1"/>
    <col min="40" max="42" width="13.7109375" style="10" hidden="1" customWidth="1"/>
    <col min="43" max="44" width="10.140625" style="10" hidden="1" customWidth="1"/>
    <col min="45" max="57" width="10" style="10" hidden="1" customWidth="1"/>
    <col min="58" max="16384" width="9.140625" style="10"/>
  </cols>
  <sheetData>
    <row r="1" spans="1:57" ht="51.75" customHeight="1" x14ac:dyDescent="0.25">
      <c r="A1" s="121" t="s">
        <v>195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0" t="s">
        <v>182</v>
      </c>
    </row>
    <row r="2" spans="1:57" ht="13.5" customHeight="1" x14ac:dyDescent="0.25">
      <c r="A2" s="12">
        <f>IF(AND(D5&lt;&gt;0,E5&lt;&gt;0,F5&lt;&gt;0)=TRUE,DATEVALUE(D5&amp;"."&amp;VLOOKUP(E5,План!$H$4:$N$15,7,0)&amp;"."&amp;F5),"22.07.1966")</f>
        <v>45652</v>
      </c>
    </row>
    <row r="3" spans="1:57" ht="30.75" customHeight="1" x14ac:dyDescent="0.25">
      <c r="B3" s="133" t="s">
        <v>0</v>
      </c>
      <c r="C3" s="133"/>
      <c r="D3" s="134" t="s">
        <v>42</v>
      </c>
      <c r="E3" s="135"/>
      <c r="F3" s="135"/>
      <c r="G3" s="135"/>
      <c r="H3" s="135"/>
      <c r="I3" s="135"/>
      <c r="J3" s="135"/>
      <c r="K3" s="135"/>
      <c r="L3" s="136"/>
    </row>
    <row r="4" spans="1:57" ht="15.75" customHeight="1" x14ac:dyDescent="0.25">
      <c r="A4" s="35"/>
    </row>
    <row r="5" spans="1:57" ht="25.5" customHeight="1" x14ac:dyDescent="0.25">
      <c r="A5" s="35"/>
      <c r="D5" s="74">
        <v>26</v>
      </c>
      <c r="E5" s="74" t="s">
        <v>81</v>
      </c>
      <c r="F5" s="74">
        <v>2024</v>
      </c>
    </row>
    <row r="6" spans="1:57" ht="20.25" customHeight="1" x14ac:dyDescent="0.25">
      <c r="A6" s="35"/>
      <c r="D6" s="88" t="s">
        <v>10</v>
      </c>
      <c r="E6" s="88" t="s">
        <v>197</v>
      </c>
      <c r="F6" s="88" t="s">
        <v>11</v>
      </c>
    </row>
    <row r="7" spans="1:57" ht="20.25" customHeight="1" x14ac:dyDescent="0.25">
      <c r="A7" s="35"/>
      <c r="B7" s="87" t="str">
        <f>"Введена некорректная дата «"&amp;D5&amp;" "&amp;E5&amp;" "&amp;F5&amp;"»"</f>
        <v>Введена некорректная дата «26 декабря 2024»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57" ht="103.5" customHeight="1" x14ac:dyDescent="0.25">
      <c r="A8" s="126" t="s">
        <v>59</v>
      </c>
      <c r="B8" s="124" t="s">
        <v>91</v>
      </c>
      <c r="C8" s="132" t="s">
        <v>57</v>
      </c>
      <c r="D8" s="132" t="s">
        <v>136</v>
      </c>
      <c r="E8" s="140" t="s">
        <v>85</v>
      </c>
      <c r="F8" s="141"/>
      <c r="G8" s="141"/>
      <c r="H8" s="142"/>
      <c r="I8" s="131" t="s">
        <v>88</v>
      </c>
      <c r="J8" s="131"/>
      <c r="K8" s="131"/>
      <c r="L8" s="132" t="s">
        <v>196</v>
      </c>
      <c r="M8" s="128" t="s">
        <v>125</v>
      </c>
      <c r="N8" s="129"/>
      <c r="O8" s="129"/>
      <c r="P8" s="129"/>
      <c r="Q8" s="130"/>
      <c r="R8" s="138" t="s">
        <v>137</v>
      </c>
      <c r="S8" s="131" t="s">
        <v>89</v>
      </c>
      <c r="T8" s="131"/>
      <c r="U8" s="131"/>
      <c r="V8" s="143" t="s">
        <v>202</v>
      </c>
      <c r="W8" s="144"/>
      <c r="X8" s="124" t="s">
        <v>134</v>
      </c>
      <c r="Y8" s="124" t="s">
        <v>135</v>
      </c>
      <c r="Z8" s="147" t="s">
        <v>105</v>
      </c>
      <c r="AA8" s="123" t="s">
        <v>62</v>
      </c>
      <c r="AB8" s="123" t="s">
        <v>140</v>
      </c>
      <c r="AC8" s="123" t="s">
        <v>141</v>
      </c>
      <c r="AD8" s="123" t="s">
        <v>142</v>
      </c>
      <c r="AE8" s="123" t="s">
        <v>143</v>
      </c>
      <c r="AF8" s="123" t="s">
        <v>144</v>
      </c>
      <c r="AG8" s="145" t="s">
        <v>145</v>
      </c>
      <c r="AI8" s="8"/>
      <c r="AJ8" s="11"/>
    </row>
    <row r="9" spans="1:57" s="37" customFormat="1" ht="252.75" customHeight="1" x14ac:dyDescent="0.25">
      <c r="A9" s="127"/>
      <c r="B9" s="125"/>
      <c r="C9" s="132"/>
      <c r="D9" s="132"/>
      <c r="E9" s="112" t="s">
        <v>86</v>
      </c>
      <c r="F9" s="112" t="s">
        <v>87</v>
      </c>
      <c r="G9" s="112" t="s">
        <v>193</v>
      </c>
      <c r="H9" s="112" t="s">
        <v>194</v>
      </c>
      <c r="I9" s="113" t="s">
        <v>187</v>
      </c>
      <c r="J9" s="113" t="s">
        <v>191</v>
      </c>
      <c r="K9" s="113" t="s">
        <v>192</v>
      </c>
      <c r="L9" s="132"/>
      <c r="M9" s="114" t="s">
        <v>61</v>
      </c>
      <c r="N9" s="112" t="s">
        <v>65</v>
      </c>
      <c r="O9" s="112" t="s">
        <v>66</v>
      </c>
      <c r="P9" s="112" t="s">
        <v>90</v>
      </c>
      <c r="Q9" s="115" t="s">
        <v>190</v>
      </c>
      <c r="R9" s="139"/>
      <c r="S9" s="113" t="s">
        <v>187</v>
      </c>
      <c r="T9" s="113" t="s">
        <v>188</v>
      </c>
      <c r="U9" s="113" t="s">
        <v>189</v>
      </c>
      <c r="V9" s="109" t="s">
        <v>185</v>
      </c>
      <c r="W9" s="109" t="s">
        <v>186</v>
      </c>
      <c r="X9" s="125"/>
      <c r="Y9" s="125"/>
      <c r="Z9" s="147"/>
      <c r="AA9" s="123"/>
      <c r="AB9" s="123"/>
      <c r="AC9" s="123"/>
      <c r="AD9" s="123"/>
      <c r="AE9" s="123"/>
      <c r="AF9" s="123"/>
      <c r="AG9" s="145"/>
      <c r="AH9" s="148" t="s">
        <v>82</v>
      </c>
      <c r="AI9" s="149" t="s">
        <v>83</v>
      </c>
      <c r="AJ9" s="36"/>
    </row>
    <row r="10" spans="1:57" ht="24" customHeight="1" x14ac:dyDescent="0.25">
      <c r="A10" s="116">
        <v>1</v>
      </c>
      <c r="B10" s="117">
        <v>2</v>
      </c>
      <c r="C10" s="118">
        <v>3</v>
      </c>
      <c r="D10" s="117">
        <v>4</v>
      </c>
      <c r="E10" s="118">
        <v>5</v>
      </c>
      <c r="F10" s="117">
        <v>6</v>
      </c>
      <c r="G10" s="118">
        <v>7</v>
      </c>
      <c r="H10" s="117">
        <v>8</v>
      </c>
      <c r="I10" s="118">
        <v>9</v>
      </c>
      <c r="J10" s="117">
        <v>10</v>
      </c>
      <c r="K10" s="118">
        <v>11</v>
      </c>
      <c r="L10" s="117">
        <v>12</v>
      </c>
      <c r="M10" s="118">
        <v>13</v>
      </c>
      <c r="N10" s="117">
        <v>14</v>
      </c>
      <c r="O10" s="118">
        <v>15</v>
      </c>
      <c r="P10" s="117">
        <v>16</v>
      </c>
      <c r="Q10" s="118">
        <v>17</v>
      </c>
      <c r="R10" s="117">
        <v>18</v>
      </c>
      <c r="S10" s="118">
        <v>19</v>
      </c>
      <c r="T10" s="117">
        <v>20</v>
      </c>
      <c r="U10" s="118">
        <v>21</v>
      </c>
      <c r="V10" s="110">
        <v>22</v>
      </c>
      <c r="W10" s="111">
        <v>23</v>
      </c>
      <c r="X10" s="117">
        <v>24</v>
      </c>
      <c r="Y10" s="118">
        <v>25</v>
      </c>
      <c r="Z10" s="147"/>
      <c r="AA10" s="75">
        <v>12</v>
      </c>
      <c r="AB10" s="76">
        <v>12</v>
      </c>
      <c r="AC10" s="76">
        <v>12</v>
      </c>
      <c r="AD10" s="76">
        <v>22</v>
      </c>
      <c r="AE10" s="76">
        <v>24</v>
      </c>
      <c r="AF10" s="76">
        <v>18</v>
      </c>
      <c r="AG10" s="77">
        <v>22</v>
      </c>
      <c r="AH10" s="148"/>
      <c r="AI10" s="149"/>
    </row>
    <row r="11" spans="1:57" ht="45.75" customHeight="1" x14ac:dyDescent="0.25">
      <c r="A11" s="38">
        <v>1</v>
      </c>
      <c r="B11" s="103" t="s">
        <v>183</v>
      </c>
      <c r="C11" s="105">
        <f>IF($D$3&lt;&gt;"",VLOOKUP($D$3,План!$B$5:$E$55,3,FALSE),0)</f>
        <v>295</v>
      </c>
      <c r="D11" s="106">
        <f t="shared" ref="D11:D13" si="0">I11+J11+K11</f>
        <v>295</v>
      </c>
      <c r="E11" s="53"/>
      <c r="F11" s="53"/>
      <c r="G11" s="53"/>
      <c r="H11" s="53"/>
      <c r="I11" s="53">
        <v>140</v>
      </c>
      <c r="J11" s="53">
        <v>155</v>
      </c>
      <c r="K11" s="53"/>
      <c r="L11" s="53"/>
      <c r="M11" s="54" t="s">
        <v>12</v>
      </c>
      <c r="N11" s="54" t="s">
        <v>12</v>
      </c>
      <c r="O11" s="54" t="s">
        <v>12</v>
      </c>
      <c r="P11" s="54" t="s">
        <v>12</v>
      </c>
      <c r="Q11" s="107">
        <f>L11</f>
        <v>0</v>
      </c>
      <c r="R11" s="106">
        <f t="shared" ref="R11:R13" si="1">S11+T11+U11</f>
        <v>0</v>
      </c>
      <c r="S11" s="53"/>
      <c r="T11" s="53"/>
      <c r="U11" s="53"/>
      <c r="V11" s="53"/>
      <c r="W11" s="53"/>
      <c r="X11" s="55"/>
      <c r="Y11" s="55"/>
      <c r="Z11" s="83" t="str">
        <f>IF(AK11&gt;0,AH11&amp;" по строке "&amp;AJ11,"ОК")</f>
        <v>ОК</v>
      </c>
      <c r="AA11" s="78" t="e">
        <f>Q11/L11</f>
        <v>#DIV/0!</v>
      </c>
      <c r="AB11" s="79">
        <f t="shared" ref="AB11:AB16" si="2">(J11+K11)-L11</f>
        <v>155</v>
      </c>
      <c r="AC11" s="79" t="s">
        <v>12</v>
      </c>
      <c r="AD11" s="79">
        <f>(J11+K11+T11+U11)-X11</f>
        <v>155</v>
      </c>
      <c r="AE11" s="79">
        <f>X11-Y11</f>
        <v>0</v>
      </c>
      <c r="AF11" s="79">
        <f t="shared" ref="AF11:AF16" si="3">L11-R11</f>
        <v>0</v>
      </c>
      <c r="AG11" s="80">
        <f>(J11+K11-S11)-V11</f>
        <v>155</v>
      </c>
      <c r="AH11" s="84" t="s">
        <v>108</v>
      </c>
      <c r="AI11" s="85" t="s">
        <v>109</v>
      </c>
      <c r="AJ11" s="42" t="str">
        <f>IF(AK11&gt;0,INDEX($A$11:$A$16,AK11,1),CHAR(151))</f>
        <v>—</v>
      </c>
      <c r="AK11" s="43">
        <f>IFERROR(MATCH(FALSE,AL11:AQ11,0),0)</f>
        <v>0</v>
      </c>
      <c r="AL11" s="43" t="b">
        <f>$L11&lt;=$D11</f>
        <v>1</v>
      </c>
      <c r="AM11" s="43" t="b">
        <f>$L12&lt;=$D12</f>
        <v>1</v>
      </c>
      <c r="AN11" s="43" t="b">
        <f>$L13&lt;=$D13</f>
        <v>1</v>
      </c>
      <c r="AO11" s="43" t="b">
        <f>$L14&lt;=$D14</f>
        <v>1</v>
      </c>
      <c r="AP11" s="43" t="b">
        <f>$L15&lt;=$D15</f>
        <v>1</v>
      </c>
      <c r="AQ11" s="43" t="b">
        <f>$L16&lt;=$D16</f>
        <v>1</v>
      </c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ht="45.75" customHeight="1" x14ac:dyDescent="0.25">
      <c r="A12" s="44" t="s">
        <v>101</v>
      </c>
      <c r="B12" s="104" t="s">
        <v>60</v>
      </c>
      <c r="C12" s="120">
        <f>IF($D$3&lt;&gt;"",IF(VLOOKUP($D$3,План!$B$5:$F$55,5,FALSE)="",0,VLOOKUP($D$3,План!$B$5:$E$55,3,FALSE)),0)</f>
        <v>295</v>
      </c>
      <c r="D12" s="106">
        <f>SUM(I12:K12)</f>
        <v>295</v>
      </c>
      <c r="E12" s="53">
        <f>IF($D$3="",0,IF(VLOOKUP($D$3,План!$B$5:$F$55,5,FALSE)&lt;&gt;"",табл_1!E11,0))</f>
        <v>0</v>
      </c>
      <c r="F12" s="53">
        <f>IF($D$3="",0,IF(VLOOKUP($D$3,План!$B$5:$F$55,5,FALSE)&lt;&gt;"",табл_1!F11,0))</f>
        <v>0</v>
      </c>
      <c r="G12" s="53">
        <f>IF($D$3="",0,IF(VLOOKUP($D$3,План!$B$5:$F$55,5,FALSE)&lt;&gt;"",табл_1!G11,0))</f>
        <v>0</v>
      </c>
      <c r="H12" s="53">
        <f>IF($D$3="",0,IF(VLOOKUP($D$3,План!$B$5:$F$55,5,FALSE)&lt;&gt;"",табл_1!H11,0))</f>
        <v>0</v>
      </c>
      <c r="I12" s="53">
        <f>IF($D$3="",0,IF(VLOOKUP($D$3,План!$B$5:$F$55,5,FALSE)&lt;&gt;"",табл_1!I11,0))</f>
        <v>140</v>
      </c>
      <c r="J12" s="53">
        <f>IF($D$3="",0,IF(VLOOKUP($D$3,План!$B$5:$F$55,5,FALSE)&lt;&gt;"",табл_1!J11,0))</f>
        <v>155</v>
      </c>
      <c r="K12" s="53">
        <f>IF($D$3="",0,IF(VLOOKUP($D$3,План!$B$5:$F$55,5,FALSE)&lt;&gt;"",табл_1!K11,0))</f>
        <v>0</v>
      </c>
      <c r="L12" s="53">
        <f>IF($D$3="",0,IF(VLOOKUP($D$3,План!$B$5:$F$55,5,FALSE)&lt;&gt;"",табл_1!L11,0))</f>
        <v>0</v>
      </c>
      <c r="M12" s="54" t="s">
        <v>12</v>
      </c>
      <c r="N12" s="54" t="s">
        <v>12</v>
      </c>
      <c r="O12" s="54" t="s">
        <v>12</v>
      </c>
      <c r="P12" s="54" t="s">
        <v>12</v>
      </c>
      <c r="Q12" s="107">
        <f>L12</f>
        <v>0</v>
      </c>
      <c r="R12" s="106">
        <f t="shared" si="1"/>
        <v>0</v>
      </c>
      <c r="S12" s="53">
        <f>IF($D$3="",0,IF(VLOOKUP($D$3,План!$B$5:$F$55,5,FALSE)&lt;&gt;"",табл_1!S11,0))</f>
        <v>0</v>
      </c>
      <c r="T12" s="53">
        <f>IF($D$3="",0,IF(VLOOKUP($D$3,План!$B$5:$F$55,5,FALSE)&lt;&gt;"",табл_1!T11,0))</f>
        <v>0</v>
      </c>
      <c r="U12" s="53">
        <f>IF($D$3="",0,IF(VLOOKUP($D$3,План!$B$5:$F$55,5,FALSE)&lt;&gt;"",табл_1!U11,0))</f>
        <v>0</v>
      </c>
      <c r="V12" s="53">
        <f>IF($D$3="",0,IF(VLOOKUP($D$3,План!$B$5:$F$55,5,FALSE)&lt;&gt;"",табл_1!V11,0))</f>
        <v>0</v>
      </c>
      <c r="W12" s="55">
        <f>IF($D$3="",0,IF(VLOOKUP($D$3,План!$B$5:$F$55,5,FALSE)&lt;&gt;"",табл_1!W11,0))</f>
        <v>0</v>
      </c>
      <c r="X12" s="55">
        <f>IF($D$3="",0,IF(VLOOKUP($D$3,План!$B$5:$F$55,5,FALSE)&lt;&gt;"",табл_1!X11,0))</f>
        <v>0</v>
      </c>
      <c r="Y12" s="55">
        <f>IF($D$3="",0,IF(VLOOKUP($D$3,План!$B$5:$F$55,5,FALSE)&lt;&gt;"",табл_1!Y11,0))</f>
        <v>0</v>
      </c>
      <c r="Z12" s="83" t="str">
        <f>IF(AK12&gt;0,AH12&amp;" по строке "&amp;AJ12,"ОК")</f>
        <v>ОК</v>
      </c>
      <c r="AA12" s="78" t="e">
        <f>Q12/L12</f>
        <v>#DIV/0!</v>
      </c>
      <c r="AB12" s="79">
        <f t="shared" si="2"/>
        <v>155</v>
      </c>
      <c r="AC12" s="79" t="s">
        <v>12</v>
      </c>
      <c r="AD12" s="79">
        <f t="shared" ref="AD12:AD16" si="4">(J12+K12+T12+U12)-X12</f>
        <v>155</v>
      </c>
      <c r="AE12" s="79">
        <f t="shared" ref="AE12:AE16" si="5">X12-Y12</f>
        <v>0</v>
      </c>
      <c r="AF12" s="79">
        <f t="shared" si="3"/>
        <v>0</v>
      </c>
      <c r="AG12" s="80">
        <f t="shared" ref="AG12:AG16" si="6">(J12+K12-S12)-V12</f>
        <v>155</v>
      </c>
      <c r="AH12" s="84" t="s">
        <v>110</v>
      </c>
      <c r="AI12" s="85" t="s">
        <v>111</v>
      </c>
      <c r="AJ12" s="42" t="str">
        <f>IF(AK12&gt;0,INDEX($A$11:$A$16,AK12,1),CHAR(151))</f>
        <v>—</v>
      </c>
      <c r="AK12" s="43">
        <f>IFERROR(MATCH(FALSE,AL12:AQ12,0),0)</f>
        <v>0</v>
      </c>
      <c r="AL12" s="43" t="b">
        <f>$L11&lt;=SUM($J11:$K11)</f>
        <v>1</v>
      </c>
      <c r="AM12" s="43" t="b">
        <f>$L12&lt;=SUM($J12:$K12)</f>
        <v>1</v>
      </c>
      <c r="AN12" s="43" t="b">
        <f>$L13&lt;=SUM($J13:$K13)</f>
        <v>1</v>
      </c>
      <c r="AO12" s="43" t="b">
        <f>$L14&lt;=SUM($J14:$K14)</f>
        <v>1</v>
      </c>
      <c r="AP12" s="43" t="b">
        <f>$L15&lt;=SUM($J15:$K15)</f>
        <v>1</v>
      </c>
      <c r="AQ12" s="43" t="b">
        <f>$L16&lt;=SUM($J16:$K16)</f>
        <v>1</v>
      </c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ht="45.75" customHeight="1" x14ac:dyDescent="0.25">
      <c r="A13" s="38">
        <v>2</v>
      </c>
      <c r="B13" s="103" t="s">
        <v>184</v>
      </c>
      <c r="C13" s="105">
        <f>IF($D$3&lt;&gt;"",VLOOKUP($D$3,План!$B$5:$E$55,4,FALSE),0)</f>
        <v>291</v>
      </c>
      <c r="D13" s="106">
        <f t="shared" si="0"/>
        <v>291</v>
      </c>
      <c r="E13" s="53"/>
      <c r="F13" s="53"/>
      <c r="G13" s="53"/>
      <c r="H13" s="53"/>
      <c r="I13" s="53">
        <v>101</v>
      </c>
      <c r="J13" s="53">
        <v>175</v>
      </c>
      <c r="K13" s="53">
        <v>15</v>
      </c>
      <c r="L13" s="53">
        <v>15</v>
      </c>
      <c r="M13" s="53">
        <v>15</v>
      </c>
      <c r="N13" s="53"/>
      <c r="O13" s="53"/>
      <c r="P13" s="53"/>
      <c r="Q13" s="56" t="s">
        <v>12</v>
      </c>
      <c r="R13" s="106">
        <f t="shared" si="1"/>
        <v>15</v>
      </c>
      <c r="S13" s="53"/>
      <c r="T13" s="53"/>
      <c r="U13" s="53">
        <v>15</v>
      </c>
      <c r="V13" s="53">
        <v>15</v>
      </c>
      <c r="W13" s="53"/>
      <c r="X13" s="55">
        <v>15</v>
      </c>
      <c r="Y13" s="55">
        <v>15</v>
      </c>
      <c r="Z13" s="83" t="str">
        <f>IF(AK13&gt;0,AH13&amp;" по графе "&amp;AJ13,"ОК")</f>
        <v>ОК</v>
      </c>
      <c r="AA13" s="81">
        <f>(M13+N13+O13+P13)/L13</f>
        <v>1</v>
      </c>
      <c r="AB13" s="79">
        <f t="shared" si="2"/>
        <v>175</v>
      </c>
      <c r="AC13" s="79">
        <f>(M13+N13+O13+P13)-L13</f>
        <v>0</v>
      </c>
      <c r="AD13" s="79">
        <f t="shared" si="4"/>
        <v>190</v>
      </c>
      <c r="AE13" s="79">
        <f t="shared" si="5"/>
        <v>0</v>
      </c>
      <c r="AF13" s="79">
        <f t="shared" si="3"/>
        <v>0</v>
      </c>
      <c r="AG13" s="80">
        <f t="shared" si="6"/>
        <v>175</v>
      </c>
      <c r="AH13" s="84" t="s">
        <v>93</v>
      </c>
      <c r="AI13" s="85" t="s">
        <v>92</v>
      </c>
      <c r="AJ13" s="45" t="str">
        <f>IF(AK13&gt;0,INDEX($C$10:$Y$10,1,AK13),CHAR(151))</f>
        <v>—</v>
      </c>
      <c r="AK13" s="43">
        <f>IFERROR(MATCH(FALSE,AL13:BE13,0),0)</f>
        <v>0</v>
      </c>
      <c r="AL13" s="43" t="b">
        <f>C11&gt;=C12</f>
        <v>1</v>
      </c>
      <c r="AM13" s="43" t="b">
        <f>D11&gt;=D12</f>
        <v>1</v>
      </c>
      <c r="AN13" s="43" t="b">
        <f>E11&gt;=E12</f>
        <v>1</v>
      </c>
      <c r="AO13" s="43" t="b">
        <f>F11&gt;=F12</f>
        <v>1</v>
      </c>
      <c r="AP13" s="43" t="b">
        <f>G11&gt;=G12</f>
        <v>1</v>
      </c>
      <c r="AQ13" s="43" t="b">
        <f t="shared" ref="AQ13:BC13" si="7">I11&gt;=I12</f>
        <v>1</v>
      </c>
      <c r="AR13" s="43" t="b">
        <f t="shared" si="7"/>
        <v>1</v>
      </c>
      <c r="AS13" s="43" t="b">
        <f t="shared" si="7"/>
        <v>1</v>
      </c>
      <c r="AT13" s="43" t="b">
        <f t="shared" si="7"/>
        <v>1</v>
      </c>
      <c r="AU13" s="43" t="b">
        <f t="shared" si="7"/>
        <v>1</v>
      </c>
      <c r="AV13" s="43" t="b">
        <f t="shared" si="7"/>
        <v>1</v>
      </c>
      <c r="AW13" s="43" t="b">
        <f t="shared" si="7"/>
        <v>1</v>
      </c>
      <c r="AX13" s="43" t="b">
        <f t="shared" si="7"/>
        <v>1</v>
      </c>
      <c r="AY13" s="43" t="b">
        <f t="shared" si="7"/>
        <v>1</v>
      </c>
      <c r="AZ13" s="43" t="b">
        <f t="shared" si="7"/>
        <v>1</v>
      </c>
      <c r="BA13" s="43" t="b">
        <f t="shared" si="7"/>
        <v>1</v>
      </c>
      <c r="BB13" s="43" t="b">
        <f t="shared" si="7"/>
        <v>1</v>
      </c>
      <c r="BC13" s="43" t="b">
        <f t="shared" si="7"/>
        <v>1</v>
      </c>
      <c r="BD13" s="43" t="b">
        <f>X11&gt;=X12</f>
        <v>1</v>
      </c>
      <c r="BE13" s="43" t="b">
        <f>Y11&gt;=Y12</f>
        <v>1</v>
      </c>
    </row>
    <row r="14" spans="1:57" ht="45.75" customHeight="1" x14ac:dyDescent="0.25">
      <c r="A14" s="44" t="s">
        <v>102</v>
      </c>
      <c r="B14" s="104" t="s">
        <v>60</v>
      </c>
      <c r="C14" s="120">
        <f>IF($D$3&lt;&gt;"",IF(VLOOKUP($D$3,План!$B$5:$G$55,6,FALSE)="",0,VLOOKUP($D$3,План!$B$5:$E$55,4,FALSE)),0)</f>
        <v>291</v>
      </c>
      <c r="D14" s="106">
        <f>SUM(I14:K14)</f>
        <v>291</v>
      </c>
      <c r="E14" s="53">
        <f>IF($D$3="",0,IF(VLOOKUP($D$3,План!$B$5:$F$55,5,FALSE)&lt;&gt;"",табл_1!E13,0))</f>
        <v>0</v>
      </c>
      <c r="F14" s="53">
        <f>IF($D$3="",0,IF(VLOOKUP($D$3,План!$B$5:$F$55,5,FALSE)&lt;&gt;"",табл_1!F13,0))</f>
        <v>0</v>
      </c>
      <c r="G14" s="53">
        <f>IF($D$3="",0,IF(VLOOKUP($D$3,План!$B$5:$F$55,5,FALSE)&lt;&gt;"",табл_1!G13,0))</f>
        <v>0</v>
      </c>
      <c r="H14" s="53">
        <f>IF($D$3="",0,IF(VLOOKUP($D$3,План!$B$5:$F$55,5,FALSE)&lt;&gt;"",табл_1!H13,0))</f>
        <v>0</v>
      </c>
      <c r="I14" s="53">
        <f>IF($D$3="",0,IF(VLOOKUP($D$3,План!$B$5:$F$55,5,FALSE)&lt;&gt;"",табл_1!I13,0))</f>
        <v>101</v>
      </c>
      <c r="J14" s="53">
        <f>IF($D$3="",0,IF(VLOOKUP($D$3,План!$B$5:$F$55,5,FALSE)&lt;&gt;"",табл_1!J13,0))</f>
        <v>175</v>
      </c>
      <c r="K14" s="53">
        <f>IF($D$3="",0,IF(VLOOKUP($D$3,План!$B$5:$F$55,5,FALSE)&lt;&gt;"",табл_1!K13,0))</f>
        <v>15</v>
      </c>
      <c r="L14" s="53">
        <f>IF($D$3="",0,IF(VLOOKUP($D$3,План!$B$5:$F$55,5,FALSE)&lt;&gt;"",табл_1!L13,0))</f>
        <v>15</v>
      </c>
      <c r="M14" s="53">
        <f>IF($D$3="",0,IF(VLOOKUP($D$3,План!$B$5:$F$55,5,FALSE)&lt;&gt;"",табл_1!M13,0))</f>
        <v>15</v>
      </c>
      <c r="N14" s="53">
        <f>IF($D$3="",0,IF(VLOOKUP($D$3,План!$B$5:$F$55,5,FALSE)&lt;&gt;"",табл_1!N13,0))</f>
        <v>0</v>
      </c>
      <c r="O14" s="53">
        <f>IF($D$3="",0,IF(VLOOKUP($D$3,План!$B$5:$F$55,5,FALSE)&lt;&gt;"",табл_1!O13,0))</f>
        <v>0</v>
      </c>
      <c r="P14" s="53">
        <f>IF($D$3="",0,IF(VLOOKUP($D$3,План!$B$5:$F$55,5,FALSE)&lt;&gt;"",табл_1!P13,0))</f>
        <v>0</v>
      </c>
      <c r="Q14" s="56" t="s">
        <v>12</v>
      </c>
      <c r="R14" s="106">
        <f>SUM(S14:U14)</f>
        <v>15</v>
      </c>
      <c r="S14" s="53">
        <f>IF($D$3="",0,IF(VLOOKUP($D$3,План!$B$5:$F$55,5,FALSE)&lt;&gt;"",табл_1!S13,0))</f>
        <v>0</v>
      </c>
      <c r="T14" s="53">
        <f>IF($D$3="",0,IF(VLOOKUP($D$3,План!$B$5:$F$55,5,FALSE)&lt;&gt;"",табл_1!T13,0))</f>
        <v>0</v>
      </c>
      <c r="U14" s="53">
        <f>IF($D$3="",0,IF(VLOOKUP($D$3,План!$B$5:$F$55,5,FALSE)&lt;&gt;"",табл_1!U13,0))</f>
        <v>15</v>
      </c>
      <c r="V14" s="53">
        <f>IF($D$3="",0,IF(VLOOKUP($D$3,План!$B$5:$F$55,5,FALSE)&lt;&gt;"",табл_1!V13,0))</f>
        <v>15</v>
      </c>
      <c r="W14" s="53">
        <f>IF($D$3="",0,IF(VLOOKUP($D$3,План!$B$5:$F$55,5,FALSE)&lt;&gt;"",табл_1!W13,0))</f>
        <v>0</v>
      </c>
      <c r="X14" s="53">
        <f>IF($D$3="",0,IF(VLOOKUP($D$3,План!$B$5:$F$55,5,FALSE)&lt;&gt;"",табл_1!X13,0))</f>
        <v>15</v>
      </c>
      <c r="Y14" s="53">
        <f>IF($D$3="",0,IF(VLOOKUP($D$3,План!$B$5:$F$55,5,FALSE)&lt;&gt;"",табл_1!Y13,0))</f>
        <v>15</v>
      </c>
      <c r="Z14" s="83" t="str">
        <f>IF(AK14&gt;0,AH14&amp;" по графе "&amp;AJ14,"ОК")</f>
        <v>ОК</v>
      </c>
      <c r="AA14" s="81">
        <f>(M14+N14+O14+P14)/L14</f>
        <v>1</v>
      </c>
      <c r="AB14" s="79">
        <f t="shared" si="2"/>
        <v>175</v>
      </c>
      <c r="AC14" s="79">
        <f>(M14+N14+O14+P14)-L14</f>
        <v>0</v>
      </c>
      <c r="AD14" s="79">
        <f t="shared" si="4"/>
        <v>190</v>
      </c>
      <c r="AE14" s="79">
        <f t="shared" si="5"/>
        <v>0</v>
      </c>
      <c r="AF14" s="79">
        <f t="shared" si="3"/>
        <v>0</v>
      </c>
      <c r="AG14" s="80">
        <f t="shared" si="6"/>
        <v>175</v>
      </c>
      <c r="AH14" s="84" t="s">
        <v>95</v>
      </c>
      <c r="AI14" s="85" t="s">
        <v>94</v>
      </c>
      <c r="AJ14" s="45" t="str">
        <f>IF(AK14&gt;0,INDEX($C$10:$Y$10,1,AK14),CHAR(151))</f>
        <v>—</v>
      </c>
      <c r="AK14" s="43">
        <f>IFERROR(MATCH(FALSE,AL14:BE14,0),0)</f>
        <v>0</v>
      </c>
      <c r="AL14" s="43" t="b">
        <f>C13&gt;=C14</f>
        <v>1</v>
      </c>
      <c r="AM14" s="43" t="b">
        <f>D13&gt;=D14</f>
        <v>1</v>
      </c>
      <c r="AN14" s="43" t="b">
        <f>E13&gt;=E14</f>
        <v>1</v>
      </c>
      <c r="AO14" s="43" t="b">
        <f>F13&gt;=F14</f>
        <v>1</v>
      </c>
      <c r="AP14" s="43" t="b">
        <f>G13&gt;=G14</f>
        <v>1</v>
      </c>
      <c r="AQ14" s="43" t="b">
        <f t="shared" ref="AQ14:BC14" si="8">I13&gt;=I14</f>
        <v>1</v>
      </c>
      <c r="AR14" s="43" t="b">
        <f t="shared" si="8"/>
        <v>1</v>
      </c>
      <c r="AS14" s="43" t="b">
        <f t="shared" si="8"/>
        <v>1</v>
      </c>
      <c r="AT14" s="43" t="b">
        <f t="shared" si="8"/>
        <v>1</v>
      </c>
      <c r="AU14" s="43" t="b">
        <f t="shared" si="8"/>
        <v>1</v>
      </c>
      <c r="AV14" s="43" t="b">
        <f t="shared" si="8"/>
        <v>1</v>
      </c>
      <c r="AW14" s="43" t="b">
        <f t="shared" si="8"/>
        <v>1</v>
      </c>
      <c r="AX14" s="43" t="b">
        <f t="shared" si="8"/>
        <v>1</v>
      </c>
      <c r="AY14" s="43" t="b">
        <f t="shared" si="8"/>
        <v>1</v>
      </c>
      <c r="AZ14" s="43" t="b">
        <f t="shared" si="8"/>
        <v>1</v>
      </c>
      <c r="BA14" s="43" t="b">
        <f t="shared" si="8"/>
        <v>1</v>
      </c>
      <c r="BB14" s="43" t="b">
        <f t="shared" si="8"/>
        <v>1</v>
      </c>
      <c r="BC14" s="43" t="b">
        <f t="shared" si="8"/>
        <v>1</v>
      </c>
      <c r="BD14" s="43" t="b">
        <f>X13&gt;=X14</f>
        <v>1</v>
      </c>
      <c r="BE14" s="43" t="b">
        <f>Y13&gt;=Y14</f>
        <v>1</v>
      </c>
    </row>
    <row r="15" spans="1:57" ht="45.75" customHeight="1" x14ac:dyDescent="0.25">
      <c r="A15" s="38">
        <v>3</v>
      </c>
      <c r="B15" s="57" t="s">
        <v>64</v>
      </c>
      <c r="C15" s="105">
        <f>IF($D$3&lt;&gt;"",VLOOKUP($D$3,План!$B$5:$E$55,2,FALSE),0)</f>
        <v>586</v>
      </c>
      <c r="D15" s="108">
        <f>D11+D13</f>
        <v>586</v>
      </c>
      <c r="E15" s="108">
        <f>SUM(E11,E13)</f>
        <v>0</v>
      </c>
      <c r="F15" s="108">
        <f t="shared" ref="F15:Y16" si="9">SUM(F11,F13)</f>
        <v>0</v>
      </c>
      <c r="G15" s="108">
        <f t="shared" si="9"/>
        <v>0</v>
      </c>
      <c r="H15" s="108">
        <f t="shared" si="9"/>
        <v>0</v>
      </c>
      <c r="I15" s="108">
        <f t="shared" si="9"/>
        <v>241</v>
      </c>
      <c r="J15" s="108">
        <f t="shared" si="9"/>
        <v>330</v>
      </c>
      <c r="K15" s="108">
        <f t="shared" si="9"/>
        <v>15</v>
      </c>
      <c r="L15" s="108">
        <f t="shared" si="9"/>
        <v>15</v>
      </c>
      <c r="M15" s="108">
        <f t="shared" si="9"/>
        <v>15</v>
      </c>
      <c r="N15" s="108">
        <f t="shared" si="9"/>
        <v>0</v>
      </c>
      <c r="O15" s="108">
        <f t="shared" si="9"/>
        <v>0</v>
      </c>
      <c r="P15" s="108">
        <f t="shared" si="9"/>
        <v>0</v>
      </c>
      <c r="Q15" s="108">
        <f t="shared" si="9"/>
        <v>0</v>
      </c>
      <c r="R15" s="108">
        <f t="shared" si="9"/>
        <v>15</v>
      </c>
      <c r="S15" s="108">
        <f t="shared" si="9"/>
        <v>0</v>
      </c>
      <c r="T15" s="108">
        <f t="shared" si="9"/>
        <v>0</v>
      </c>
      <c r="U15" s="108">
        <f t="shared" si="9"/>
        <v>15</v>
      </c>
      <c r="V15" s="108">
        <f t="shared" ref="V15" si="10">SUM(V11,V13)</f>
        <v>15</v>
      </c>
      <c r="W15" s="108">
        <f t="shared" si="9"/>
        <v>0</v>
      </c>
      <c r="X15" s="108">
        <f t="shared" si="9"/>
        <v>15</v>
      </c>
      <c r="Y15" s="108">
        <f t="shared" si="9"/>
        <v>15</v>
      </c>
      <c r="Z15" s="83" t="str">
        <f>IF(AK15&gt;0,AH15&amp;"графы "&amp;AJ15&amp;" по строке 2","ОК")</f>
        <v>ОК</v>
      </c>
      <c r="AA15" s="81">
        <f>(M15+N15+O15+P15+Q15)/L15</f>
        <v>1</v>
      </c>
      <c r="AB15" s="79">
        <f t="shared" si="2"/>
        <v>330</v>
      </c>
      <c r="AC15" s="82">
        <f>(M15+N15+O15+P15+Q15)-L15</f>
        <v>0</v>
      </c>
      <c r="AD15" s="79">
        <f t="shared" si="4"/>
        <v>345</v>
      </c>
      <c r="AE15" s="79">
        <f t="shared" si="5"/>
        <v>0</v>
      </c>
      <c r="AF15" s="79">
        <f t="shared" si="3"/>
        <v>0</v>
      </c>
      <c r="AG15" s="80">
        <f t="shared" si="6"/>
        <v>330</v>
      </c>
      <c r="AH15" s="84" t="s">
        <v>113</v>
      </c>
      <c r="AI15" s="86" t="s">
        <v>112</v>
      </c>
      <c r="AJ15" s="45" t="str">
        <f>IF(AK15&gt;0,INDEX($M$10:$P$10,1,AK15),CHAR(151))</f>
        <v>—</v>
      </c>
      <c r="AK15" s="43">
        <f>IFERROR(MATCH(FALSE,AL15:AO15,0),0)</f>
        <v>0</v>
      </c>
      <c r="AL15" s="43" t="b">
        <f t="shared" ref="AL15:AO16" si="11">$L13&gt;=M13</f>
        <v>1</v>
      </c>
      <c r="AM15" s="43" t="b">
        <f t="shared" si="11"/>
        <v>1</v>
      </c>
      <c r="AN15" s="43" t="b">
        <f t="shared" si="11"/>
        <v>1</v>
      </c>
      <c r="AO15" s="43" t="b">
        <f t="shared" si="11"/>
        <v>1</v>
      </c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ht="45.75" customHeight="1" x14ac:dyDescent="0.25">
      <c r="A16" s="44" t="s">
        <v>103</v>
      </c>
      <c r="B16" s="58" t="s">
        <v>60</v>
      </c>
      <c r="C16" s="108">
        <f>C12+C14</f>
        <v>586</v>
      </c>
      <c r="D16" s="108">
        <f t="shared" ref="D16" si="12">D12+D14</f>
        <v>586</v>
      </c>
      <c r="E16" s="108">
        <f>SUM(E12,E14)</f>
        <v>0</v>
      </c>
      <c r="F16" s="108">
        <f t="shared" ref="F16:Y16" si="13">SUM(F12,F14)</f>
        <v>0</v>
      </c>
      <c r="G16" s="108">
        <f t="shared" si="13"/>
        <v>0</v>
      </c>
      <c r="H16" s="108">
        <f t="shared" si="13"/>
        <v>0</v>
      </c>
      <c r="I16" s="108">
        <f t="shared" si="13"/>
        <v>241</v>
      </c>
      <c r="J16" s="108">
        <f t="shared" si="13"/>
        <v>330</v>
      </c>
      <c r="K16" s="108">
        <f t="shared" si="13"/>
        <v>15</v>
      </c>
      <c r="L16" s="108">
        <f t="shared" si="13"/>
        <v>15</v>
      </c>
      <c r="M16" s="108">
        <f t="shared" si="13"/>
        <v>15</v>
      </c>
      <c r="N16" s="108">
        <f t="shared" si="13"/>
        <v>0</v>
      </c>
      <c r="O16" s="108">
        <f t="shared" si="13"/>
        <v>0</v>
      </c>
      <c r="P16" s="108">
        <f t="shared" si="13"/>
        <v>0</v>
      </c>
      <c r="Q16" s="108">
        <f t="shared" si="13"/>
        <v>0</v>
      </c>
      <c r="R16" s="108">
        <f t="shared" si="13"/>
        <v>15</v>
      </c>
      <c r="S16" s="108">
        <f t="shared" si="13"/>
        <v>0</v>
      </c>
      <c r="T16" s="108">
        <f t="shared" si="13"/>
        <v>0</v>
      </c>
      <c r="U16" s="108">
        <f t="shared" si="13"/>
        <v>15</v>
      </c>
      <c r="V16" s="108">
        <f t="shared" ref="V16" si="14">SUM(V12,V14)</f>
        <v>15</v>
      </c>
      <c r="W16" s="108">
        <f t="shared" si="9"/>
        <v>0</v>
      </c>
      <c r="X16" s="108">
        <f t="shared" si="13"/>
        <v>15</v>
      </c>
      <c r="Y16" s="108">
        <f t="shared" si="13"/>
        <v>15</v>
      </c>
      <c r="Z16" s="83" t="str">
        <f>IF(AK16&gt;0,AH16&amp;"графы "&amp;AJ16&amp;" по строке 2.1","ОК")</f>
        <v>ОК</v>
      </c>
      <c r="AA16" s="81">
        <f>(M16+N16+O16+P16+Q16)/L16</f>
        <v>1</v>
      </c>
      <c r="AB16" s="79">
        <f t="shared" si="2"/>
        <v>330</v>
      </c>
      <c r="AC16" s="82">
        <f>(M16+N16+O16+P16+Q16)-L16</f>
        <v>0</v>
      </c>
      <c r="AD16" s="79">
        <f t="shared" si="4"/>
        <v>345</v>
      </c>
      <c r="AE16" s="79">
        <f t="shared" si="5"/>
        <v>0</v>
      </c>
      <c r="AF16" s="79">
        <f t="shared" si="3"/>
        <v>0</v>
      </c>
      <c r="AG16" s="80">
        <f t="shared" si="6"/>
        <v>330</v>
      </c>
      <c r="AH16" s="84" t="s">
        <v>113</v>
      </c>
      <c r="AI16" s="86" t="s">
        <v>114</v>
      </c>
      <c r="AJ16" s="45" t="str">
        <f>IF(AK16&gt;0,INDEX($M$10:$P$10,1,AK16),CHAR(151))</f>
        <v>—</v>
      </c>
      <c r="AK16" s="43">
        <f>IFERROR(MATCH(FALSE,AL16:AO16,0),0)</f>
        <v>0</v>
      </c>
      <c r="AL16" s="43" t="b">
        <f t="shared" si="11"/>
        <v>1</v>
      </c>
      <c r="AM16" s="43" t="b">
        <f t="shared" si="11"/>
        <v>1</v>
      </c>
      <c r="AN16" s="43" t="b">
        <f t="shared" si="11"/>
        <v>1</v>
      </c>
      <c r="AO16" s="43" t="b">
        <f t="shared" si="11"/>
        <v>1</v>
      </c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ht="38.25" customHeight="1" x14ac:dyDescent="0.25">
      <c r="C17" s="46"/>
      <c r="Z17" s="83" t="str">
        <f>IF(AK17&gt;0,AH17&amp;" по строке "&amp;AJ17,"ОК")</f>
        <v>ОК</v>
      </c>
      <c r="AA17" s="47"/>
      <c r="AB17" s="39"/>
      <c r="AC17" s="39"/>
      <c r="AD17" s="39"/>
      <c r="AE17" s="39"/>
      <c r="AF17" s="39"/>
      <c r="AG17" s="40"/>
      <c r="AH17" s="84" t="s">
        <v>84</v>
      </c>
      <c r="AI17" s="85" t="s">
        <v>63</v>
      </c>
      <c r="AJ17" s="42" t="str">
        <f>IF(AK17&gt;0,INDEX($A$11:$A$16,AK17,1),CHAR(151))</f>
        <v>—</v>
      </c>
      <c r="AK17" s="43">
        <f>IFERROR(MATCH(FALSE,AL17:AQ17,0),0)</f>
        <v>0</v>
      </c>
      <c r="AL17" s="43" t="b">
        <f>$C11&gt;=$D11</f>
        <v>1</v>
      </c>
      <c r="AM17" s="43" t="b">
        <f>$C12&gt;=$D12</f>
        <v>1</v>
      </c>
      <c r="AN17" s="43" t="b">
        <f>$C13&gt;=$D13</f>
        <v>1</v>
      </c>
      <c r="AO17" s="43" t="b">
        <f>$C14&gt;=$D14</f>
        <v>1</v>
      </c>
      <c r="AP17" s="43" t="b">
        <f>$C15&gt;=$D15</f>
        <v>1</v>
      </c>
      <c r="AQ17" s="43" t="b">
        <f>$C16&gt;=$D16</f>
        <v>1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ht="33" customHeight="1" x14ac:dyDescent="0.25">
      <c r="C18" s="46"/>
      <c r="Z18" s="83" t="str">
        <f>IF(AK18&gt;0,AH18&amp;" по строке "&amp;AJ18,"ОК")</f>
        <v>ОК</v>
      </c>
      <c r="AA18" s="47"/>
      <c r="AB18" s="39"/>
      <c r="AC18" s="39"/>
      <c r="AD18" s="39"/>
      <c r="AE18" s="39"/>
      <c r="AF18" s="39"/>
      <c r="AG18" s="40"/>
      <c r="AH18" s="84" t="s">
        <v>116</v>
      </c>
      <c r="AI18" s="85" t="s">
        <v>115</v>
      </c>
      <c r="AJ18" s="42" t="str">
        <f>IF(AK18&gt;0,INDEX($A$11:$A$16,AK18,1),CHAR(151))</f>
        <v>—</v>
      </c>
      <c r="AK18" s="43">
        <f>IFERROR(MATCH(FALSE,AL18:AQ18,0),0)</f>
        <v>0</v>
      </c>
      <c r="AL18" s="43" t="b">
        <f>$R11&lt;=$L11</f>
        <v>1</v>
      </c>
      <c r="AM18" s="43" t="b">
        <f>$R12&lt;=$L12</f>
        <v>1</v>
      </c>
      <c r="AN18" s="43" t="b">
        <f>$R13&lt;=$L13</f>
        <v>1</v>
      </c>
      <c r="AO18" s="43" t="b">
        <f>$R14&lt;=$L14</f>
        <v>1</v>
      </c>
      <c r="AP18" s="43" t="b">
        <f>$R15&lt;=$L15</f>
        <v>1</v>
      </c>
      <c r="AQ18" s="43" t="b">
        <f>$R16&lt;=$L16</f>
        <v>1</v>
      </c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33" customHeight="1" x14ac:dyDescent="0.25">
      <c r="Z19" s="83" t="str">
        <f>IF(AK19&gt;0,AH19&amp;" по строке "&amp;AJ19,"ОК")</f>
        <v>ОК</v>
      </c>
      <c r="AA19" s="47"/>
      <c r="AB19" s="39"/>
      <c r="AC19" s="39"/>
      <c r="AD19" s="39"/>
      <c r="AE19" s="39"/>
      <c r="AF19" s="39"/>
      <c r="AG19" s="40"/>
      <c r="AH19" s="84" t="s">
        <v>199</v>
      </c>
      <c r="AI19" s="85" t="s">
        <v>198</v>
      </c>
      <c r="AJ19" s="42" t="str">
        <f>IF(AK19&gt;0,INDEX($A$11:$A$16,AK19,1),CHAR(151))</f>
        <v>—</v>
      </c>
      <c r="AK19" s="43">
        <f>IFERROR(MATCH(FALSE,AL19:AQ19,0),0)</f>
        <v>0</v>
      </c>
      <c r="AL19" s="43" t="b">
        <f>$V11&lt;=$D11</f>
        <v>1</v>
      </c>
      <c r="AM19" s="43" t="b">
        <f>$V12&lt;=$D12</f>
        <v>1</v>
      </c>
      <c r="AN19" s="43" t="b">
        <f>$V13&lt;=$D13</f>
        <v>1</v>
      </c>
      <c r="AO19" s="43" t="b">
        <f>$V14&lt;=$D14</f>
        <v>1</v>
      </c>
      <c r="AP19" s="43" t="b">
        <f>$V15&lt;=$D15</f>
        <v>1</v>
      </c>
      <c r="AQ19" s="43" t="b">
        <f>$V16&lt;=$D16</f>
        <v>1</v>
      </c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ht="36" customHeight="1" x14ac:dyDescent="0.25">
      <c r="B20" s="59" t="s">
        <v>2</v>
      </c>
      <c r="C20" s="137" t="s">
        <v>226</v>
      </c>
      <c r="D20" s="137"/>
      <c r="E20" s="137"/>
      <c r="F20" s="137"/>
      <c r="G20" s="137"/>
      <c r="H20" s="137"/>
      <c r="I20" s="137"/>
      <c r="J20" s="137"/>
      <c r="K20" s="137"/>
      <c r="Z20" s="83" t="str">
        <f>IF(AK20&gt;0,AH20&amp;" по строке "&amp;AJ20,"ОК")</f>
        <v>ОК</v>
      </c>
      <c r="AA20" s="47"/>
      <c r="AB20" s="39"/>
      <c r="AC20" s="39"/>
      <c r="AD20" s="39"/>
      <c r="AE20" s="39"/>
      <c r="AF20" s="39"/>
      <c r="AG20" s="40"/>
      <c r="AH20" s="84" t="s">
        <v>117</v>
      </c>
      <c r="AI20" s="85" t="s">
        <v>118</v>
      </c>
      <c r="AJ20" s="42" t="str">
        <f>IF(AK20&gt;0,INDEX($A$11:$A$16,AK20,1),CHAR(151))</f>
        <v>—</v>
      </c>
      <c r="AK20" s="43">
        <f>IFERROR(MATCH(FALSE,AL20:AQ20,0),0)</f>
        <v>0</v>
      </c>
      <c r="AL20" s="43" t="b">
        <f>$W11&lt;=$V11</f>
        <v>1</v>
      </c>
      <c r="AM20" s="43" t="b">
        <f>$W12&lt;=$V12</f>
        <v>1</v>
      </c>
      <c r="AN20" s="43" t="b">
        <f>$W13&lt;=$V13</f>
        <v>1</v>
      </c>
      <c r="AO20" s="43" t="b">
        <f>$W14&lt;=$V14</f>
        <v>1</v>
      </c>
      <c r="AP20" s="43" t="b">
        <f>$W15&lt;=$V15</f>
        <v>1</v>
      </c>
      <c r="AQ20" s="43" t="b">
        <f>$W16&lt;=$V16</f>
        <v>1</v>
      </c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ht="36" customHeight="1" x14ac:dyDescent="0.25">
      <c r="B21" s="59" t="s">
        <v>3</v>
      </c>
      <c r="C21" s="137" t="s">
        <v>227</v>
      </c>
      <c r="D21" s="137"/>
      <c r="E21" s="137"/>
      <c r="F21" s="137"/>
      <c r="G21" s="137"/>
      <c r="H21" s="137"/>
      <c r="I21" s="137"/>
      <c r="J21" s="137"/>
      <c r="K21" s="137"/>
      <c r="Z21" s="83" t="str">
        <f>IF(AJ23&gt;0,"Гр.4 &lt; гр."&amp;AK21&amp;" по строке "&amp;AJ21,"ОК")</f>
        <v>ОК</v>
      </c>
      <c r="AA21" s="47"/>
      <c r="AB21" s="39"/>
      <c r="AC21" s="39"/>
      <c r="AD21" s="39"/>
      <c r="AE21" s="39"/>
      <c r="AF21" s="39"/>
      <c r="AG21" s="40"/>
      <c r="AH21" s="84" t="s">
        <v>119</v>
      </c>
      <c r="AI21" s="86" t="s">
        <v>120</v>
      </c>
      <c r="AJ21" s="13" t="str">
        <f>IF(AJ23&gt;0,INDEX($A$11:$A$16,AJ23,1),CHAR(151))</f>
        <v>—</v>
      </c>
      <c r="AK21" s="13" t="str">
        <f>IF(AK23&gt;0,INDEX($E$10:$G$10,1,AK23),CHAR(151))</f>
        <v>—</v>
      </c>
      <c r="AL21" s="48"/>
      <c r="AM21" s="48"/>
      <c r="AN21" s="48"/>
    </row>
    <row r="22" spans="1:57" ht="36" customHeight="1" x14ac:dyDescent="0.25">
      <c r="B22" s="59" t="s">
        <v>126</v>
      </c>
      <c r="C22" s="122">
        <v>89047542538</v>
      </c>
      <c r="D22" s="122"/>
      <c r="E22" s="122"/>
      <c r="F22" s="122"/>
      <c r="G22" s="122"/>
      <c r="H22" s="122"/>
      <c r="I22" s="122"/>
      <c r="J22" s="122"/>
      <c r="K22" s="122"/>
      <c r="Z22" s="83" t="str">
        <f>IF(SUM(M13:P13)&lt;$L$13,AH22,"ОК")</f>
        <v>ОК</v>
      </c>
      <c r="AA22" s="47"/>
      <c r="AB22" s="39"/>
      <c r="AC22" s="39"/>
      <c r="AD22" s="39"/>
      <c r="AE22" s="39"/>
      <c r="AF22" s="39"/>
      <c r="AG22" s="40"/>
      <c r="AH22" s="84" t="s">
        <v>123</v>
      </c>
      <c r="AI22" s="85" t="s">
        <v>121</v>
      </c>
      <c r="AJ22" s="49" t="s">
        <v>59</v>
      </c>
      <c r="AK22" s="49" t="s">
        <v>107</v>
      </c>
      <c r="AL22" s="48"/>
      <c r="AM22" s="48"/>
      <c r="AN22" s="48"/>
    </row>
    <row r="23" spans="1:57" ht="50.1" customHeight="1" x14ac:dyDescent="0.25">
      <c r="Z23" s="83" t="str">
        <f>IF(SUM(M14:P14)&lt;$L$14,AH23,"ОК")</f>
        <v>ОК</v>
      </c>
      <c r="AA23" s="47"/>
      <c r="AB23" s="39"/>
      <c r="AC23" s="39"/>
      <c r="AD23" s="39"/>
      <c r="AE23" s="39"/>
      <c r="AF23" s="39"/>
      <c r="AG23" s="40"/>
      <c r="AH23" s="84" t="s">
        <v>124</v>
      </c>
      <c r="AI23" s="85" t="s">
        <v>122</v>
      </c>
      <c r="AJ23" s="50">
        <f>IFERROR(MATCH(FALSE,AJ24:AJ28,0),0)</f>
        <v>0</v>
      </c>
      <c r="AK23" s="50">
        <f>IFERROR(VLOOKUP(FALSE,AJ24:AK28,2,FALSE),0)</f>
        <v>0</v>
      </c>
      <c r="AL23" s="146" t="s">
        <v>106</v>
      </c>
      <c r="AM23" s="146"/>
      <c r="AN23" s="146"/>
    </row>
    <row r="24" spans="1:57" ht="68.25" customHeight="1" x14ac:dyDescent="0.3">
      <c r="A24" s="60"/>
      <c r="B24" s="61" t="s">
        <v>58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2"/>
      <c r="Z24" s="63"/>
      <c r="AA24" s="64"/>
      <c r="AB24" s="65"/>
      <c r="AC24" s="65"/>
      <c r="AD24" s="65"/>
      <c r="AE24" s="65"/>
      <c r="AF24" s="65"/>
      <c r="AG24" s="66"/>
      <c r="AH24" s="41"/>
      <c r="AI24" s="52"/>
      <c r="AJ24" s="51" t="b">
        <f t="shared" ref="AJ24:AJ28" si="15">IF(AK24=0,TRUE,FALSE)</f>
        <v>1</v>
      </c>
      <c r="AK24" s="14">
        <f t="shared" ref="AK24:AK28" si="16">IFERROR(MATCH(FALSE,AL24:AN24,0),0)</f>
        <v>0</v>
      </c>
      <c r="AL24" s="51" t="b">
        <f t="shared" ref="AL24:AN28" si="17">$D12&gt;=E12</f>
        <v>1</v>
      </c>
      <c r="AM24" s="51" t="b">
        <f t="shared" si="17"/>
        <v>1</v>
      </c>
      <c r="AN24" s="51" t="b">
        <f t="shared" si="17"/>
        <v>1</v>
      </c>
    </row>
    <row r="25" spans="1:57" ht="27" customHeight="1" x14ac:dyDescent="0.3">
      <c r="A25" s="60" t="s">
        <v>104</v>
      </c>
      <c r="B25" s="67" t="s">
        <v>98</v>
      </c>
      <c r="C25" s="65">
        <f t="shared" ref="C25:L25" si="18">C11-C12</f>
        <v>0</v>
      </c>
      <c r="D25" s="65">
        <f t="shared" si="18"/>
        <v>0</v>
      </c>
      <c r="E25" s="65">
        <f t="shared" si="18"/>
        <v>0</v>
      </c>
      <c r="F25" s="65">
        <f t="shared" si="18"/>
        <v>0</v>
      </c>
      <c r="G25" s="65">
        <f t="shared" si="18"/>
        <v>0</v>
      </c>
      <c r="H25" s="65">
        <f t="shared" si="18"/>
        <v>0</v>
      </c>
      <c r="I25" s="65">
        <f t="shared" si="18"/>
        <v>0</v>
      </c>
      <c r="J25" s="65">
        <f t="shared" si="18"/>
        <v>0</v>
      </c>
      <c r="K25" s="65">
        <f t="shared" si="18"/>
        <v>0</v>
      </c>
      <c r="L25" s="65">
        <f t="shared" si="18"/>
        <v>0</v>
      </c>
      <c r="M25" s="68" t="s">
        <v>12</v>
      </c>
      <c r="N25" s="68" t="s">
        <v>12</v>
      </c>
      <c r="O25" s="68" t="s">
        <v>12</v>
      </c>
      <c r="P25" s="68" t="s">
        <v>12</v>
      </c>
      <c r="Q25" s="69">
        <f t="shared" ref="Q25:Y25" si="19">Q11-Q12</f>
        <v>0</v>
      </c>
      <c r="R25" s="69">
        <f t="shared" si="19"/>
        <v>0</v>
      </c>
      <c r="S25" s="69">
        <f t="shared" si="19"/>
        <v>0</v>
      </c>
      <c r="T25" s="69">
        <f t="shared" si="19"/>
        <v>0</v>
      </c>
      <c r="U25" s="69">
        <f t="shared" si="19"/>
        <v>0</v>
      </c>
      <c r="V25" s="69">
        <f t="shared" ref="V25" si="20">V11-V12</f>
        <v>0</v>
      </c>
      <c r="W25" s="69">
        <f t="shared" si="19"/>
        <v>0</v>
      </c>
      <c r="X25" s="69">
        <f t="shared" si="19"/>
        <v>0</v>
      </c>
      <c r="Y25" s="69">
        <f t="shared" si="19"/>
        <v>0</v>
      </c>
      <c r="Z25" s="60"/>
      <c r="AA25" s="70" t="e">
        <f>Q25/L25</f>
        <v>#DIV/0!</v>
      </c>
      <c r="AB25" s="65">
        <f>(J25+K25)-L25</f>
        <v>0</v>
      </c>
      <c r="AC25" s="65" t="s">
        <v>12</v>
      </c>
      <c r="AD25" s="65">
        <f>R25-X25</f>
        <v>0</v>
      </c>
      <c r="AE25" s="65">
        <f>X25-Y25</f>
        <v>0</v>
      </c>
      <c r="AF25" s="65">
        <f>L25-R25</f>
        <v>0</v>
      </c>
      <c r="AG25" s="66">
        <f t="shared" ref="AG25:AG26" si="21">(J25+K25-S25)-W25</f>
        <v>0</v>
      </c>
      <c r="AJ25" s="51" t="b">
        <f t="shared" si="15"/>
        <v>1</v>
      </c>
      <c r="AK25" s="14">
        <f t="shared" si="16"/>
        <v>0</v>
      </c>
      <c r="AL25" s="51" t="b">
        <f t="shared" si="17"/>
        <v>1</v>
      </c>
      <c r="AM25" s="51" t="b">
        <f t="shared" si="17"/>
        <v>1</v>
      </c>
      <c r="AN25" s="51" t="b">
        <f t="shared" si="17"/>
        <v>1</v>
      </c>
      <c r="AQ25" s="48"/>
      <c r="AR25" s="48"/>
    </row>
    <row r="26" spans="1:57" ht="27" customHeight="1" x14ac:dyDescent="0.3">
      <c r="A26" s="60" t="s">
        <v>104</v>
      </c>
      <c r="B26" s="71" t="s">
        <v>99</v>
      </c>
      <c r="C26" s="65">
        <f t="shared" ref="C26:P26" si="22">C13-C14</f>
        <v>0</v>
      </c>
      <c r="D26" s="65">
        <f t="shared" si="22"/>
        <v>0</v>
      </c>
      <c r="E26" s="65">
        <f t="shared" si="22"/>
        <v>0</v>
      </c>
      <c r="F26" s="65">
        <f t="shared" si="22"/>
        <v>0</v>
      </c>
      <c r="G26" s="65">
        <f t="shared" si="22"/>
        <v>0</v>
      </c>
      <c r="H26" s="65">
        <f t="shared" si="22"/>
        <v>0</v>
      </c>
      <c r="I26" s="65">
        <f t="shared" si="22"/>
        <v>0</v>
      </c>
      <c r="J26" s="65">
        <f t="shared" si="22"/>
        <v>0</v>
      </c>
      <c r="K26" s="65">
        <f t="shared" si="22"/>
        <v>0</v>
      </c>
      <c r="L26" s="65">
        <f t="shared" si="22"/>
        <v>0</v>
      </c>
      <c r="M26" s="69">
        <f t="shared" si="22"/>
        <v>0</v>
      </c>
      <c r="N26" s="69">
        <f t="shared" si="22"/>
        <v>0</v>
      </c>
      <c r="O26" s="69">
        <f t="shared" si="22"/>
        <v>0</v>
      </c>
      <c r="P26" s="69">
        <f t="shared" si="22"/>
        <v>0</v>
      </c>
      <c r="Q26" s="68" t="s">
        <v>12</v>
      </c>
      <c r="R26" s="72">
        <f t="shared" ref="R26:Y26" si="23">R13-R14</f>
        <v>0</v>
      </c>
      <c r="S26" s="72">
        <f t="shared" si="23"/>
        <v>0</v>
      </c>
      <c r="T26" s="72">
        <f t="shared" si="23"/>
        <v>0</v>
      </c>
      <c r="U26" s="72">
        <f t="shared" si="23"/>
        <v>0</v>
      </c>
      <c r="V26" s="72">
        <f t="shared" ref="V26" si="24">V13-V14</f>
        <v>0</v>
      </c>
      <c r="W26" s="72">
        <f t="shared" si="23"/>
        <v>0</v>
      </c>
      <c r="X26" s="72">
        <f t="shared" si="23"/>
        <v>0</v>
      </c>
      <c r="Y26" s="72">
        <f t="shared" si="23"/>
        <v>0</v>
      </c>
      <c r="Z26" s="60"/>
      <c r="AA26" s="70" t="e">
        <f>(M26+N26+O26+P26)/L26</f>
        <v>#DIV/0!</v>
      </c>
      <c r="AB26" s="65">
        <f>(J26+K26)-L26</f>
        <v>0</v>
      </c>
      <c r="AC26" s="65">
        <f>(M26+N26+O26+P26)-L26</f>
        <v>0</v>
      </c>
      <c r="AD26" s="65">
        <f t="shared" ref="AD26" si="25">R26-X26</f>
        <v>0</v>
      </c>
      <c r="AE26" s="65">
        <f t="shared" ref="AE26" si="26">X26-Y26</f>
        <v>0</v>
      </c>
      <c r="AF26" s="65">
        <f>L26-R26</f>
        <v>0</v>
      </c>
      <c r="AG26" s="66">
        <f t="shared" si="21"/>
        <v>0</v>
      </c>
      <c r="AJ26" s="51" t="b">
        <f t="shared" si="15"/>
        <v>1</v>
      </c>
      <c r="AK26" s="14">
        <f t="shared" si="16"/>
        <v>0</v>
      </c>
      <c r="AL26" s="51" t="b">
        <f t="shared" si="17"/>
        <v>1</v>
      </c>
      <c r="AM26" s="51" t="b">
        <f t="shared" si="17"/>
        <v>1</v>
      </c>
      <c r="AN26" s="51" t="b">
        <f t="shared" si="17"/>
        <v>1</v>
      </c>
      <c r="AQ26" s="48"/>
      <c r="AR26" s="48"/>
    </row>
    <row r="27" spans="1:57" ht="27" customHeight="1" x14ac:dyDescent="0.3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J27" s="51" t="b">
        <f t="shared" si="15"/>
        <v>1</v>
      </c>
      <c r="AK27" s="14">
        <f t="shared" si="16"/>
        <v>0</v>
      </c>
      <c r="AL27" s="51" t="b">
        <f t="shared" si="17"/>
        <v>1</v>
      </c>
      <c r="AM27" s="51" t="b">
        <f t="shared" si="17"/>
        <v>1</v>
      </c>
      <c r="AN27" s="51" t="b">
        <f t="shared" si="17"/>
        <v>1</v>
      </c>
    </row>
    <row r="28" spans="1:57" ht="27" customHeight="1" x14ac:dyDescent="0.3">
      <c r="A28" s="60"/>
      <c r="B28" s="73" t="s">
        <v>96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5">
        <f>L13-M13</f>
        <v>0</v>
      </c>
      <c r="N28" s="65">
        <f>L13-N13</f>
        <v>15</v>
      </c>
      <c r="O28" s="65">
        <f>L13-O13</f>
        <v>15</v>
      </c>
      <c r="P28" s="65">
        <f>L13-P13</f>
        <v>15</v>
      </c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J28" s="51" t="b">
        <f t="shared" si="15"/>
        <v>1</v>
      </c>
      <c r="AK28" s="14">
        <f t="shared" si="16"/>
        <v>0</v>
      </c>
      <c r="AL28" s="51" t="b">
        <f t="shared" si="17"/>
        <v>1</v>
      </c>
      <c r="AM28" s="51" t="b">
        <f t="shared" si="17"/>
        <v>1</v>
      </c>
      <c r="AN28" s="51" t="b">
        <f t="shared" si="17"/>
        <v>1</v>
      </c>
    </row>
    <row r="29" spans="1:57" ht="27" customHeight="1" x14ac:dyDescent="0.3">
      <c r="A29" s="60"/>
      <c r="B29" s="73" t="s">
        <v>97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5">
        <f>L14-M14</f>
        <v>0</v>
      </c>
      <c r="N29" s="65">
        <f>L14-N14</f>
        <v>15</v>
      </c>
      <c r="O29" s="65">
        <f>L14-O14</f>
        <v>15</v>
      </c>
      <c r="P29" s="65">
        <f>L14-P14</f>
        <v>15</v>
      </c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</row>
    <row r="30" spans="1:57" ht="27" customHeight="1" x14ac:dyDescent="0.3">
      <c r="A30" s="60" t="s">
        <v>104</v>
      </c>
      <c r="B30" s="73" t="s">
        <v>100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5">
        <f>L26-M26</f>
        <v>0</v>
      </c>
      <c r="N30" s="65">
        <f>L26-N26</f>
        <v>0</v>
      </c>
      <c r="O30" s="65">
        <f>L26-O26</f>
        <v>0</v>
      </c>
      <c r="P30" s="65">
        <f>L26-P26</f>
        <v>0</v>
      </c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</row>
    <row r="31" spans="1:57" ht="20.25" customHeight="1" x14ac:dyDescent="0.25">
      <c r="B31" s="8"/>
    </row>
    <row r="32" spans="1:57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</sheetData>
  <sheetProtection password="DB70" sheet="1" objects="1" scenarios="1" autoFilter="0"/>
  <mergeCells count="30">
    <mergeCell ref="R8:R9"/>
    <mergeCell ref="E8:H8"/>
    <mergeCell ref="V8:W8"/>
    <mergeCell ref="AG8:AG9"/>
    <mergeCell ref="AL23:AN23"/>
    <mergeCell ref="Z8:Z10"/>
    <mergeCell ref="AH9:AH10"/>
    <mergeCell ref="AI9:AI10"/>
    <mergeCell ref="AE8:AE9"/>
    <mergeCell ref="AA8:AA9"/>
    <mergeCell ref="AB8:AB9"/>
    <mergeCell ref="AD8:AD9"/>
    <mergeCell ref="AC8:AC9"/>
    <mergeCell ref="S8:U8"/>
    <mergeCell ref="A1:Y1"/>
    <mergeCell ref="C22:K22"/>
    <mergeCell ref="AF8:AF9"/>
    <mergeCell ref="X8:X9"/>
    <mergeCell ref="Y8:Y9"/>
    <mergeCell ref="A8:A9"/>
    <mergeCell ref="B8:B9"/>
    <mergeCell ref="M8:Q8"/>
    <mergeCell ref="I8:K8"/>
    <mergeCell ref="L8:L9"/>
    <mergeCell ref="C8:C9"/>
    <mergeCell ref="D8:D9"/>
    <mergeCell ref="B3:C3"/>
    <mergeCell ref="D3:L3"/>
    <mergeCell ref="C20:K20"/>
    <mergeCell ref="C21:K21"/>
  </mergeCells>
  <conditionalFormatting sqref="M26:P26 C25:L26 M28:P30 Q25:Y25 AD11:AG26">
    <cfRule type="cellIs" dxfId="9" priority="35" operator="lessThan">
      <formula>0</formula>
    </cfRule>
  </conditionalFormatting>
  <conditionalFormatting sqref="AA11:AA16 AA25:AA26">
    <cfRule type="cellIs" dxfId="8" priority="27" operator="lessThan">
      <formula>1</formula>
    </cfRule>
  </conditionalFormatting>
  <conditionalFormatting sqref="AB11:AC26">
    <cfRule type="cellIs" dxfId="7" priority="25" operator="lessThan">
      <formula>0</formula>
    </cfRule>
  </conditionalFormatting>
  <conditionalFormatting sqref="Z11:Z23">
    <cfRule type="expression" dxfId="6" priority="22" stopIfTrue="1">
      <formula>Z11&lt;&gt;"ОК"</formula>
    </cfRule>
  </conditionalFormatting>
  <conditionalFormatting sqref="B7:P7">
    <cfRule type="expression" dxfId="5" priority="12">
      <formula>ISERROR($A$2)</formula>
    </cfRule>
  </conditionalFormatting>
  <dataValidations count="5">
    <dataValidation type="list" allowBlank="1" showInputMessage="1" showErrorMessage="1" errorTitle="В Н И М А Н И Е !" error="В эту ячейку можно ввести значение только выбрав его из выпадающего списка._x000a_" sqref="D3:L3">
      <formula1>Названия_организаций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_x000a_" sqref="D5">
      <formula1>Число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_x000a_" sqref="E5">
      <formula1>Месяц</formula1>
    </dataValidation>
    <dataValidation type="list" allowBlank="1" showInputMessage="1" showErrorMessage="1" errorTitle="В Н И М А Н И Е !" error="В эту ячейку можно ввести значение только выбрав его из выпадающего списка._x000a_" sqref="F5">
      <formula1>Год</formula1>
    </dataValidation>
    <dataValidation type="custom" showInputMessage="1" showErrorMessage="1" errorTitle="В Н И М А Н И Е!" error="Перед заполнением таблицы НУЖНО ВНАЧАЛЕ ЗАПОЛНИТЬ:_x000a_1) название организации;_x000a_2) число; месяц; год;_x000a_3) ФИО руководителя, исполнителя;_x000a_4) телефон исполнителя._x000a__x000a_=  А ТАКЖЕ  ==_x000a__x000a_В ЭТУ ЯЧЕЙКУ МОЖНО ВВЕСТИ ТОЛЬКО ЦЕЛОЕ ЧИСЛО &gt;= 0._x000a_" sqref="E11:L11 E13:P13 S11:Y11 S13:Y13">
      <formula1>AND($D$3&lt;&gt;"",$D$5&lt;&gt;"",$E$5&lt;&gt;"",$F$5&lt;&gt;"",$C$20&lt;&gt;"",$C$21&lt;&gt;"",$C$22&lt;&gt;"",ISNUMBER(E11),E11&gt;=0,IF(ISERROR(SEARCH(",?",E11)),0,1)=0)</formula1>
    </dataValidation>
  </dataValidations>
  <pageMargins left="0.23622047244094491" right="0.23622047244094491" top="0.74803149606299213" bottom="0.74803149606299213" header="0.31496062992125984" footer="0.31496062992125984"/>
  <pageSetup paperSize="9" scale="39" orientation="landscape" horizontalDpi="300" verticalDpi="300" r:id="rId1"/>
  <ignoredErrors>
    <ignoredError sqref="C14:Y14 C12 E12:Y12 C13:H13 N13:T13 W13" unlockedFormula="1"/>
    <ignoredError sqref="D12" formula="1" unlockedFormula="1"/>
    <ignoredError sqref="AA11:AA16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showInputMessage="1" showErrorMessage="1" errorTitle="В Н И М А Н И Е!" error="В эту ячейку может вносить изменения только НЕ село._x000a_">
          <x14:formula1>
            <xm:f>VLOOKUP($D$3,План!$B$5:$F$55,5,FALSE)=""</xm:f>
          </x14:formula1>
          <xm:sqref>C12 E12:L12 S12:Y12 C14 E14:P14 S14:Y14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6"/>
  <sheetViews>
    <sheetView topLeftCell="A22" workbookViewId="0">
      <selection activeCell="D49" sqref="D49"/>
    </sheetView>
  </sheetViews>
  <sheetFormatPr defaultRowHeight="16.5" customHeight="1" x14ac:dyDescent="0.25"/>
  <cols>
    <col min="2" max="2" width="50.42578125" style="7" customWidth="1"/>
    <col min="3" max="5" width="25.28515625" customWidth="1"/>
    <col min="8" max="8" width="15.85546875" customWidth="1"/>
  </cols>
  <sheetData>
    <row r="1" spans="1:14" ht="39" customHeight="1" x14ac:dyDescent="0.25">
      <c r="A1" s="150" t="s">
        <v>1</v>
      </c>
      <c r="B1" s="151" t="s">
        <v>4</v>
      </c>
      <c r="C1" s="150"/>
      <c r="D1" s="150"/>
      <c r="E1" s="150"/>
    </row>
    <row r="2" spans="1:14" ht="39" customHeight="1" x14ac:dyDescent="0.25">
      <c r="A2" s="150"/>
      <c r="B2" s="151"/>
      <c r="C2" s="152" t="s">
        <v>5</v>
      </c>
      <c r="D2" s="152"/>
      <c r="E2" s="152"/>
    </row>
    <row r="3" spans="1:14" ht="39" customHeight="1" x14ac:dyDescent="0.25">
      <c r="A3" s="150"/>
      <c r="B3" s="151"/>
      <c r="C3" s="4" t="s">
        <v>6</v>
      </c>
      <c r="D3" s="4" t="s">
        <v>7</v>
      </c>
      <c r="E3" s="4" t="s">
        <v>8</v>
      </c>
      <c r="F3" s="9"/>
      <c r="G3" s="9"/>
      <c r="H3" s="9" t="s">
        <v>68</v>
      </c>
      <c r="I3" s="9"/>
      <c r="J3" s="9"/>
      <c r="K3" s="9" t="s">
        <v>69</v>
      </c>
      <c r="N3" s="9" t="s">
        <v>67</v>
      </c>
    </row>
    <row r="4" spans="1:14" ht="16.5" customHeight="1" x14ac:dyDescent="0.25">
      <c r="A4" s="1">
        <v>1</v>
      </c>
      <c r="B4" s="5">
        <v>2</v>
      </c>
      <c r="C4" s="1">
        <v>4</v>
      </c>
      <c r="D4" s="1">
        <v>5</v>
      </c>
      <c r="E4" s="2">
        <v>6</v>
      </c>
      <c r="H4" t="s">
        <v>70</v>
      </c>
      <c r="K4">
        <v>2024</v>
      </c>
      <c r="N4">
        <v>1</v>
      </c>
    </row>
    <row r="5" spans="1:14" ht="16.5" customHeight="1" x14ac:dyDescent="0.25">
      <c r="A5" s="1">
        <v>1</v>
      </c>
      <c r="B5" s="15" t="s">
        <v>13</v>
      </c>
      <c r="C5" s="17">
        <v>3906</v>
      </c>
      <c r="D5" s="17">
        <v>1750</v>
      </c>
      <c r="E5" s="18">
        <v>2156</v>
      </c>
      <c r="H5" t="s">
        <v>71</v>
      </c>
      <c r="K5">
        <v>2025</v>
      </c>
      <c r="N5">
        <v>2</v>
      </c>
    </row>
    <row r="6" spans="1:14" ht="16.5" customHeight="1" x14ac:dyDescent="0.25">
      <c r="A6" s="1">
        <v>2</v>
      </c>
      <c r="B6" s="15" t="s">
        <v>14</v>
      </c>
      <c r="C6" s="17">
        <v>6742</v>
      </c>
      <c r="D6" s="17">
        <v>2885</v>
      </c>
      <c r="E6" s="18">
        <v>3857</v>
      </c>
      <c r="H6" t="s">
        <v>72</v>
      </c>
      <c r="K6">
        <v>2026</v>
      </c>
      <c r="N6">
        <v>3</v>
      </c>
    </row>
    <row r="7" spans="1:14" ht="16.5" customHeight="1" x14ac:dyDescent="0.25">
      <c r="A7" s="1">
        <v>3</v>
      </c>
      <c r="B7" s="15" t="s">
        <v>15</v>
      </c>
      <c r="C7" s="17">
        <v>2638</v>
      </c>
      <c r="D7" s="17">
        <v>1168</v>
      </c>
      <c r="E7" s="18">
        <v>1470</v>
      </c>
      <c r="H7" t="s">
        <v>73</v>
      </c>
      <c r="K7">
        <v>2027</v>
      </c>
      <c r="N7">
        <v>4</v>
      </c>
    </row>
    <row r="8" spans="1:14" ht="16.5" customHeight="1" x14ac:dyDescent="0.25">
      <c r="A8" s="1">
        <v>4</v>
      </c>
      <c r="B8" s="15" t="s">
        <v>16</v>
      </c>
      <c r="C8" s="17">
        <v>4284</v>
      </c>
      <c r="D8" s="17">
        <v>1822</v>
      </c>
      <c r="E8" s="18">
        <v>2462</v>
      </c>
      <c r="H8" t="s">
        <v>74</v>
      </c>
      <c r="K8">
        <v>2028</v>
      </c>
      <c r="N8">
        <v>5</v>
      </c>
    </row>
    <row r="9" spans="1:14" ht="16.5" customHeight="1" x14ac:dyDescent="0.25">
      <c r="A9" s="1">
        <v>5</v>
      </c>
      <c r="B9" s="15" t="s">
        <v>17</v>
      </c>
      <c r="C9" s="17">
        <v>3594</v>
      </c>
      <c r="D9" s="17">
        <v>1691</v>
      </c>
      <c r="E9" s="17">
        <v>1903</v>
      </c>
      <c r="H9" t="s">
        <v>75</v>
      </c>
      <c r="K9">
        <v>2029</v>
      </c>
      <c r="N9">
        <v>6</v>
      </c>
    </row>
    <row r="10" spans="1:14" ht="16.5" customHeight="1" x14ac:dyDescent="0.25">
      <c r="A10" s="1">
        <v>6</v>
      </c>
      <c r="B10" s="15" t="s">
        <v>18</v>
      </c>
      <c r="C10" s="17">
        <v>2269</v>
      </c>
      <c r="D10" s="17">
        <v>1110</v>
      </c>
      <c r="E10" s="18">
        <v>1159</v>
      </c>
      <c r="H10" t="s">
        <v>76</v>
      </c>
      <c r="K10">
        <v>2030</v>
      </c>
      <c r="N10">
        <v>7</v>
      </c>
    </row>
    <row r="11" spans="1:14" ht="16.5" customHeight="1" x14ac:dyDescent="0.25">
      <c r="A11" s="1">
        <v>7</v>
      </c>
      <c r="B11" s="15" t="s">
        <v>19</v>
      </c>
      <c r="C11" s="17">
        <v>2138</v>
      </c>
      <c r="D11" s="17">
        <v>1027</v>
      </c>
      <c r="E11" s="18">
        <v>1111</v>
      </c>
      <c r="H11" t="s">
        <v>77</v>
      </c>
      <c r="N11">
        <v>8</v>
      </c>
    </row>
    <row r="12" spans="1:14" ht="16.5" customHeight="1" x14ac:dyDescent="0.25">
      <c r="A12" s="1">
        <v>8</v>
      </c>
      <c r="B12" s="15" t="s">
        <v>20</v>
      </c>
      <c r="C12" s="17">
        <v>7549</v>
      </c>
      <c r="D12" s="17">
        <v>3211</v>
      </c>
      <c r="E12" s="18">
        <v>4338</v>
      </c>
      <c r="H12" t="s">
        <v>78</v>
      </c>
      <c r="N12">
        <v>9</v>
      </c>
    </row>
    <row r="13" spans="1:14" ht="16.5" customHeight="1" x14ac:dyDescent="0.25">
      <c r="A13" s="1">
        <v>9</v>
      </c>
      <c r="B13" s="15" t="s">
        <v>21</v>
      </c>
      <c r="C13" s="17">
        <v>2364</v>
      </c>
      <c r="D13" s="17">
        <v>1033</v>
      </c>
      <c r="E13" s="18">
        <v>1331</v>
      </c>
      <c r="H13" t="s">
        <v>79</v>
      </c>
      <c r="N13">
        <v>10</v>
      </c>
    </row>
    <row r="14" spans="1:14" ht="16.5" customHeight="1" x14ac:dyDescent="0.25">
      <c r="A14" s="1">
        <v>10</v>
      </c>
      <c r="B14" s="15" t="s">
        <v>22</v>
      </c>
      <c r="C14" s="17">
        <v>2393</v>
      </c>
      <c r="D14" s="17">
        <v>1103</v>
      </c>
      <c r="E14" s="18">
        <v>1290</v>
      </c>
      <c r="H14" t="s">
        <v>80</v>
      </c>
      <c r="N14">
        <v>11</v>
      </c>
    </row>
    <row r="15" spans="1:14" ht="16.5" customHeight="1" x14ac:dyDescent="0.25">
      <c r="A15" s="1">
        <v>11</v>
      </c>
      <c r="B15" s="15" t="s">
        <v>23</v>
      </c>
      <c r="C15" s="17">
        <v>6257</v>
      </c>
      <c r="D15" s="17">
        <v>2619</v>
      </c>
      <c r="E15" s="18">
        <v>3638</v>
      </c>
      <c r="H15" t="s">
        <v>81</v>
      </c>
      <c r="N15">
        <v>12</v>
      </c>
    </row>
    <row r="16" spans="1:14" ht="16.5" customHeight="1" x14ac:dyDescent="0.25">
      <c r="A16" s="1">
        <v>12</v>
      </c>
      <c r="B16" s="15" t="s">
        <v>24</v>
      </c>
      <c r="C16" s="17">
        <v>3803</v>
      </c>
      <c r="D16" s="17">
        <v>1637</v>
      </c>
      <c r="E16" s="18">
        <v>2166</v>
      </c>
      <c r="N16">
        <v>13</v>
      </c>
    </row>
    <row r="17" spans="1:14" ht="16.5" customHeight="1" x14ac:dyDescent="0.25">
      <c r="A17" s="1">
        <v>13</v>
      </c>
      <c r="B17" s="15" t="s">
        <v>25</v>
      </c>
      <c r="C17" s="17">
        <v>3908</v>
      </c>
      <c r="D17" s="17">
        <v>1938</v>
      </c>
      <c r="E17" s="18">
        <v>1970</v>
      </c>
      <c r="N17">
        <v>14</v>
      </c>
    </row>
    <row r="18" spans="1:14" ht="16.5" customHeight="1" x14ac:dyDescent="0.25">
      <c r="A18" s="1">
        <v>14</v>
      </c>
      <c r="B18" s="15" t="s">
        <v>26</v>
      </c>
      <c r="C18" s="17">
        <v>2349</v>
      </c>
      <c r="D18" s="17">
        <v>1221</v>
      </c>
      <c r="E18" s="18">
        <v>1128</v>
      </c>
      <c r="N18">
        <v>15</v>
      </c>
    </row>
    <row r="19" spans="1:14" ht="16.5" customHeight="1" x14ac:dyDescent="0.25">
      <c r="A19" s="1">
        <v>15</v>
      </c>
      <c r="B19" s="15" t="s">
        <v>27</v>
      </c>
      <c r="C19" s="17">
        <v>3603</v>
      </c>
      <c r="D19" s="17">
        <v>1782</v>
      </c>
      <c r="E19" s="18">
        <v>1821</v>
      </c>
      <c r="N19">
        <v>16</v>
      </c>
    </row>
    <row r="20" spans="1:14" ht="16.5" customHeight="1" x14ac:dyDescent="0.25">
      <c r="A20" s="1">
        <v>16</v>
      </c>
      <c r="B20" s="15" t="s">
        <v>28</v>
      </c>
      <c r="C20" s="17">
        <v>3351</v>
      </c>
      <c r="D20" s="17">
        <v>1514</v>
      </c>
      <c r="E20" s="18">
        <v>1837</v>
      </c>
      <c r="N20">
        <v>17</v>
      </c>
    </row>
    <row r="21" spans="1:14" s="21" customFormat="1" ht="16.5" customHeight="1" x14ac:dyDescent="0.25">
      <c r="A21" s="19">
        <v>17</v>
      </c>
      <c r="B21" s="16" t="s">
        <v>29</v>
      </c>
      <c r="C21" s="20">
        <v>650</v>
      </c>
      <c r="D21" s="22">
        <v>340</v>
      </c>
      <c r="E21" s="23">
        <v>310</v>
      </c>
      <c r="F21" s="22" t="s">
        <v>138</v>
      </c>
      <c r="G21" s="24" t="s">
        <v>139</v>
      </c>
      <c r="N21" s="21">
        <v>18</v>
      </c>
    </row>
    <row r="22" spans="1:14" ht="16.5" customHeight="1" x14ac:dyDescent="0.25">
      <c r="A22" s="1">
        <v>18</v>
      </c>
      <c r="B22" s="15" t="s">
        <v>30</v>
      </c>
      <c r="C22" s="17">
        <v>1075</v>
      </c>
      <c r="D22" s="17">
        <v>640</v>
      </c>
      <c r="E22" s="18">
        <v>435</v>
      </c>
      <c r="N22">
        <v>19</v>
      </c>
    </row>
    <row r="23" spans="1:14" ht="16.5" customHeight="1" x14ac:dyDescent="0.25">
      <c r="A23" s="1">
        <v>19</v>
      </c>
      <c r="B23" s="15" t="s">
        <v>31</v>
      </c>
      <c r="C23" s="17">
        <v>3058</v>
      </c>
      <c r="D23" s="17">
        <v>1538</v>
      </c>
      <c r="E23" s="18">
        <v>1520</v>
      </c>
      <c r="N23">
        <v>20</v>
      </c>
    </row>
    <row r="24" spans="1:14" ht="16.5" customHeight="1" x14ac:dyDescent="0.25">
      <c r="A24" s="1">
        <v>20</v>
      </c>
      <c r="B24" s="15" t="s">
        <v>32</v>
      </c>
      <c r="C24" s="17">
        <v>646</v>
      </c>
      <c r="D24" s="17">
        <v>337</v>
      </c>
      <c r="E24" s="18">
        <v>309</v>
      </c>
      <c r="N24">
        <v>21</v>
      </c>
    </row>
    <row r="25" spans="1:14" ht="16.5" customHeight="1" x14ac:dyDescent="0.25">
      <c r="A25" s="1">
        <v>21</v>
      </c>
      <c r="B25" s="15" t="s">
        <v>127</v>
      </c>
      <c r="C25" s="17">
        <v>1182</v>
      </c>
      <c r="D25" s="17">
        <v>576</v>
      </c>
      <c r="E25" s="18">
        <v>606</v>
      </c>
      <c r="N25">
        <v>22</v>
      </c>
    </row>
    <row r="26" spans="1:14" ht="16.5" customHeight="1" x14ac:dyDescent="0.25">
      <c r="A26" s="1">
        <v>22</v>
      </c>
      <c r="B26" s="15" t="s">
        <v>33</v>
      </c>
      <c r="C26" s="17">
        <v>1240</v>
      </c>
      <c r="D26" s="17">
        <v>625</v>
      </c>
      <c r="E26" s="18">
        <v>615</v>
      </c>
      <c r="N26">
        <v>23</v>
      </c>
    </row>
    <row r="27" spans="1:14" ht="16.5" customHeight="1" x14ac:dyDescent="0.25">
      <c r="A27" s="1">
        <v>23</v>
      </c>
      <c r="B27" s="15" t="s">
        <v>34</v>
      </c>
      <c r="C27" s="17">
        <v>1709</v>
      </c>
      <c r="D27" s="17">
        <v>911</v>
      </c>
      <c r="E27" s="18">
        <v>798</v>
      </c>
      <c r="N27">
        <v>24</v>
      </c>
    </row>
    <row r="28" spans="1:14" ht="16.5" customHeight="1" x14ac:dyDescent="0.25">
      <c r="A28" s="1">
        <v>24</v>
      </c>
      <c r="B28" s="15" t="s">
        <v>35</v>
      </c>
      <c r="C28" s="17">
        <v>1414</v>
      </c>
      <c r="D28" s="17">
        <v>730</v>
      </c>
      <c r="E28" s="18">
        <v>684</v>
      </c>
      <c r="N28">
        <v>25</v>
      </c>
    </row>
    <row r="29" spans="1:14" ht="16.5" customHeight="1" x14ac:dyDescent="0.25">
      <c r="A29" s="1">
        <v>25</v>
      </c>
      <c r="B29" s="15" t="s">
        <v>36</v>
      </c>
      <c r="C29" s="17">
        <v>2375</v>
      </c>
      <c r="D29" s="17">
        <v>1134</v>
      </c>
      <c r="E29" s="18">
        <v>1241</v>
      </c>
      <c r="N29">
        <v>26</v>
      </c>
    </row>
    <row r="30" spans="1:14" ht="16.5" customHeight="1" x14ac:dyDescent="0.25">
      <c r="A30" s="1">
        <v>26</v>
      </c>
      <c r="B30" s="15" t="s">
        <v>128</v>
      </c>
      <c r="C30" s="17">
        <v>3526</v>
      </c>
      <c r="D30" s="17">
        <v>1744</v>
      </c>
      <c r="E30" s="17">
        <v>1782</v>
      </c>
      <c r="N30">
        <v>27</v>
      </c>
    </row>
    <row r="31" spans="1:14" ht="16.5" customHeight="1" x14ac:dyDescent="0.25">
      <c r="A31" s="1">
        <v>27</v>
      </c>
      <c r="B31" s="15" t="s">
        <v>37</v>
      </c>
      <c r="C31" s="17">
        <v>2212</v>
      </c>
      <c r="D31" s="17">
        <v>1060</v>
      </c>
      <c r="E31" s="18">
        <v>1152</v>
      </c>
      <c r="N31">
        <v>28</v>
      </c>
    </row>
    <row r="32" spans="1:14" ht="16.5" customHeight="1" x14ac:dyDescent="0.25">
      <c r="A32" s="1">
        <v>28</v>
      </c>
      <c r="B32" s="16" t="s">
        <v>38</v>
      </c>
      <c r="C32" s="17">
        <v>640</v>
      </c>
      <c r="D32" s="22">
        <v>348</v>
      </c>
      <c r="E32" s="23">
        <v>292</v>
      </c>
      <c r="F32" s="22" t="s">
        <v>138</v>
      </c>
      <c r="G32" s="24" t="s">
        <v>139</v>
      </c>
      <c r="N32">
        <v>29</v>
      </c>
    </row>
    <row r="33" spans="1:14" ht="16.5" customHeight="1" x14ac:dyDescent="0.25">
      <c r="A33" s="1">
        <v>29</v>
      </c>
      <c r="B33" s="16" t="s">
        <v>129</v>
      </c>
      <c r="C33" s="17">
        <v>725</v>
      </c>
      <c r="D33" s="22">
        <v>382</v>
      </c>
      <c r="E33" s="23">
        <v>343</v>
      </c>
      <c r="F33" s="22" t="s">
        <v>138</v>
      </c>
      <c r="G33" s="24" t="s">
        <v>139</v>
      </c>
      <c r="N33">
        <v>30</v>
      </c>
    </row>
    <row r="34" spans="1:14" ht="16.5" customHeight="1" x14ac:dyDescent="0.25">
      <c r="A34" s="1">
        <v>30</v>
      </c>
      <c r="B34" s="15" t="s">
        <v>39</v>
      </c>
      <c r="C34" s="17">
        <v>1501</v>
      </c>
      <c r="D34" s="17">
        <v>683</v>
      </c>
      <c r="E34" s="18">
        <v>818</v>
      </c>
      <c r="N34">
        <v>31</v>
      </c>
    </row>
    <row r="35" spans="1:14" ht="16.5" customHeight="1" x14ac:dyDescent="0.25">
      <c r="A35" s="1">
        <v>31</v>
      </c>
      <c r="B35" s="15" t="s">
        <v>130</v>
      </c>
      <c r="C35" s="17">
        <v>1432</v>
      </c>
      <c r="D35" s="17">
        <v>720</v>
      </c>
      <c r="E35" s="18">
        <v>712</v>
      </c>
    </row>
    <row r="36" spans="1:14" ht="16.5" customHeight="1" x14ac:dyDescent="0.25">
      <c r="A36" s="1">
        <v>32</v>
      </c>
      <c r="B36" s="15" t="s">
        <v>40</v>
      </c>
      <c r="C36" s="17">
        <v>1268</v>
      </c>
      <c r="D36" s="17">
        <v>655</v>
      </c>
      <c r="E36" s="18">
        <v>613</v>
      </c>
    </row>
    <row r="37" spans="1:14" ht="16.5" customHeight="1" x14ac:dyDescent="0.25">
      <c r="A37" s="1">
        <v>33</v>
      </c>
      <c r="B37" s="15" t="s">
        <v>41</v>
      </c>
      <c r="C37" s="17">
        <v>3535</v>
      </c>
      <c r="D37" s="17">
        <v>1792</v>
      </c>
      <c r="E37" s="18">
        <v>1743</v>
      </c>
    </row>
    <row r="38" spans="1:14" ht="16.5" customHeight="1" x14ac:dyDescent="0.25">
      <c r="A38" s="1">
        <v>34</v>
      </c>
      <c r="B38" s="16" t="s">
        <v>42</v>
      </c>
      <c r="C38" s="17">
        <v>586</v>
      </c>
      <c r="D38" s="22">
        <v>295</v>
      </c>
      <c r="E38" s="23">
        <v>291</v>
      </c>
      <c r="F38" s="22" t="s">
        <v>138</v>
      </c>
      <c r="G38" s="24" t="s">
        <v>139</v>
      </c>
    </row>
    <row r="39" spans="1:14" ht="16.5" customHeight="1" x14ac:dyDescent="0.25">
      <c r="A39" s="1">
        <v>35</v>
      </c>
      <c r="B39" s="15" t="s">
        <v>43</v>
      </c>
      <c r="C39" s="17">
        <v>1262</v>
      </c>
      <c r="D39" s="17">
        <v>738</v>
      </c>
      <c r="E39" s="18">
        <v>524</v>
      </c>
    </row>
    <row r="40" spans="1:14" ht="16.5" customHeight="1" x14ac:dyDescent="0.25">
      <c r="A40" s="1">
        <v>36</v>
      </c>
      <c r="B40" s="15" t="s">
        <v>44</v>
      </c>
      <c r="C40" s="17">
        <v>1547</v>
      </c>
      <c r="D40" s="17">
        <v>803</v>
      </c>
      <c r="E40" s="18">
        <v>744</v>
      </c>
    </row>
    <row r="41" spans="1:14" ht="16.5" customHeight="1" x14ac:dyDescent="0.25">
      <c r="A41" s="1">
        <v>37</v>
      </c>
      <c r="B41" s="15" t="s">
        <v>45</v>
      </c>
      <c r="C41" s="17">
        <v>1037</v>
      </c>
      <c r="D41" s="17">
        <v>530</v>
      </c>
      <c r="E41" s="18">
        <v>507</v>
      </c>
    </row>
    <row r="42" spans="1:14" ht="16.5" customHeight="1" x14ac:dyDescent="0.25">
      <c r="A42" s="1">
        <v>38</v>
      </c>
      <c r="B42" s="15" t="s">
        <v>46</v>
      </c>
      <c r="C42" s="17">
        <v>954</v>
      </c>
      <c r="D42" s="17">
        <v>447</v>
      </c>
      <c r="E42" s="18">
        <v>507</v>
      </c>
    </row>
    <row r="43" spans="1:14" ht="16.5" customHeight="1" x14ac:dyDescent="0.25">
      <c r="A43" s="1">
        <v>39</v>
      </c>
      <c r="B43" s="16" t="s">
        <v>131</v>
      </c>
      <c r="C43" s="17">
        <v>694</v>
      </c>
      <c r="D43" s="22">
        <v>366</v>
      </c>
      <c r="E43" s="23">
        <v>328</v>
      </c>
      <c r="F43" s="22" t="s">
        <v>138</v>
      </c>
      <c r="G43" s="24" t="s">
        <v>139</v>
      </c>
    </row>
    <row r="44" spans="1:14" ht="16.5" customHeight="1" x14ac:dyDescent="0.25">
      <c r="A44" s="1">
        <v>40</v>
      </c>
      <c r="B44" s="15" t="s">
        <v>47</v>
      </c>
      <c r="C44" s="17">
        <v>1756</v>
      </c>
      <c r="D44" s="17">
        <v>899</v>
      </c>
      <c r="E44" s="18">
        <v>857</v>
      </c>
    </row>
    <row r="45" spans="1:14" ht="16.5" customHeight="1" x14ac:dyDescent="0.25">
      <c r="A45" s="1">
        <v>41</v>
      </c>
      <c r="B45" s="16" t="s">
        <v>48</v>
      </c>
      <c r="C45" s="17">
        <v>828</v>
      </c>
      <c r="D45" s="22">
        <v>438</v>
      </c>
      <c r="E45" s="23">
        <v>390</v>
      </c>
      <c r="F45" s="22" t="s">
        <v>138</v>
      </c>
      <c r="G45" s="24" t="s">
        <v>139</v>
      </c>
    </row>
    <row r="46" spans="1:14" ht="16.5" customHeight="1" x14ac:dyDescent="0.25">
      <c r="A46" s="1">
        <v>42</v>
      </c>
      <c r="B46" s="15" t="s">
        <v>132</v>
      </c>
      <c r="C46" s="17">
        <v>602</v>
      </c>
      <c r="D46" s="17">
        <v>328</v>
      </c>
      <c r="E46" s="18">
        <v>274</v>
      </c>
    </row>
    <row r="47" spans="1:14" ht="16.5" customHeight="1" x14ac:dyDescent="0.25">
      <c r="A47" s="1">
        <v>43</v>
      </c>
      <c r="B47" s="15" t="s">
        <v>49</v>
      </c>
      <c r="C47" s="17">
        <v>1791</v>
      </c>
      <c r="D47" s="17">
        <v>885</v>
      </c>
      <c r="E47" s="18">
        <v>906</v>
      </c>
    </row>
    <row r="48" spans="1:14" ht="16.5" customHeight="1" x14ac:dyDescent="0.25">
      <c r="A48" s="1">
        <v>44</v>
      </c>
      <c r="B48" s="15" t="s">
        <v>50</v>
      </c>
      <c r="C48" s="17">
        <v>864</v>
      </c>
      <c r="D48" s="17">
        <v>473</v>
      </c>
      <c r="E48" s="18">
        <v>391</v>
      </c>
    </row>
    <row r="49" spans="1:7" ht="16.5" customHeight="1" x14ac:dyDescent="0.25">
      <c r="A49" s="1">
        <v>45</v>
      </c>
      <c r="B49" s="15" t="s">
        <v>51</v>
      </c>
      <c r="C49" s="17">
        <v>2458</v>
      </c>
      <c r="D49" s="17">
        <v>1224</v>
      </c>
      <c r="E49" s="17">
        <v>1234</v>
      </c>
    </row>
    <row r="50" spans="1:7" ht="16.5" customHeight="1" x14ac:dyDescent="0.25">
      <c r="A50" s="1">
        <v>46</v>
      </c>
      <c r="B50" s="16" t="s">
        <v>52</v>
      </c>
      <c r="C50" s="17">
        <v>839</v>
      </c>
      <c r="D50" s="22">
        <v>431</v>
      </c>
      <c r="E50" s="23">
        <v>408</v>
      </c>
      <c r="F50" s="22" t="s">
        <v>138</v>
      </c>
      <c r="G50" s="24" t="s">
        <v>139</v>
      </c>
    </row>
    <row r="51" spans="1:7" ht="16.5" customHeight="1" x14ac:dyDescent="0.25">
      <c r="A51" s="1">
        <v>47</v>
      </c>
      <c r="B51" s="15" t="s">
        <v>133</v>
      </c>
      <c r="C51" s="17">
        <v>1406</v>
      </c>
      <c r="D51" s="17">
        <v>742</v>
      </c>
      <c r="E51" s="18">
        <v>664</v>
      </c>
    </row>
    <row r="52" spans="1:7" ht="16.5" customHeight="1" x14ac:dyDescent="0.25">
      <c r="A52" s="1">
        <v>48</v>
      </c>
      <c r="B52" s="15" t="s">
        <v>53</v>
      </c>
      <c r="C52" s="17">
        <v>2738</v>
      </c>
      <c r="D52" s="17">
        <v>1271</v>
      </c>
      <c r="E52" s="18">
        <v>1467</v>
      </c>
    </row>
    <row r="53" spans="1:7" ht="16.5" customHeight="1" x14ac:dyDescent="0.25">
      <c r="A53" s="1">
        <v>49</v>
      </c>
      <c r="B53" s="15" t="s">
        <v>54</v>
      </c>
      <c r="C53" s="17">
        <v>2059</v>
      </c>
      <c r="D53" s="17">
        <v>1035</v>
      </c>
      <c r="E53" s="18">
        <v>1024</v>
      </c>
    </row>
    <row r="54" spans="1:7" ht="16.5" customHeight="1" x14ac:dyDescent="0.25">
      <c r="A54" s="1">
        <v>50</v>
      </c>
      <c r="B54" s="15" t="s">
        <v>55</v>
      </c>
      <c r="C54" s="17">
        <v>685</v>
      </c>
      <c r="D54" s="17">
        <v>355</v>
      </c>
      <c r="E54" s="18">
        <v>330</v>
      </c>
    </row>
    <row r="55" spans="1:7" ht="16.5" customHeight="1" x14ac:dyDescent="0.25">
      <c r="A55" s="1">
        <v>51</v>
      </c>
      <c r="B55" s="15" t="s">
        <v>56</v>
      </c>
      <c r="C55" s="17">
        <v>1742</v>
      </c>
      <c r="D55" s="17">
        <v>896</v>
      </c>
      <c r="E55" s="18">
        <v>846</v>
      </c>
    </row>
    <row r="56" spans="1:7" ht="16.5" customHeight="1" x14ac:dyDescent="0.25">
      <c r="A56" s="3"/>
      <c r="B56" s="6" t="s">
        <v>9</v>
      </c>
      <c r="C56" s="4">
        <f>SUM(C5:C55)</f>
        <v>113184</v>
      </c>
      <c r="D56" s="4">
        <f t="shared" ref="D56:E56" si="0">SUM(D5:D55)</f>
        <v>53882</v>
      </c>
      <c r="E56" s="4">
        <f t="shared" si="0"/>
        <v>59302</v>
      </c>
    </row>
  </sheetData>
  <sheetProtection password="DB70" sheet="1" objects="1" scenarios="1" autoFilter="0"/>
  <mergeCells count="4">
    <mergeCell ref="A1:A3"/>
    <mergeCell ref="B1:B3"/>
    <mergeCell ref="C1:E1"/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2"/>
  <sheetViews>
    <sheetView workbookViewId="0">
      <selection activeCell="A2" sqref="A2:A3"/>
    </sheetView>
  </sheetViews>
  <sheetFormatPr defaultRowHeight="15" x14ac:dyDescent="0.25"/>
  <cols>
    <col min="1" max="1" width="25.42578125" customWidth="1"/>
    <col min="2" max="2" width="11" customWidth="1"/>
    <col min="4" max="4" width="10.85546875" customWidth="1"/>
  </cols>
  <sheetData>
    <row r="1" spans="1:11" x14ac:dyDescent="0.25">
      <c r="A1" s="33" t="s">
        <v>146</v>
      </c>
    </row>
    <row r="2" spans="1:11" ht="29.25" customHeight="1" x14ac:dyDescent="0.25">
      <c r="A2" s="153"/>
      <c r="B2" s="153" t="s">
        <v>147</v>
      </c>
      <c r="C2" s="153" t="s">
        <v>148</v>
      </c>
      <c r="D2" s="153" t="s">
        <v>149</v>
      </c>
      <c r="E2" s="153" t="s">
        <v>148</v>
      </c>
      <c r="F2" s="153" t="s">
        <v>150</v>
      </c>
      <c r="G2" s="153"/>
      <c r="H2" s="153" t="s">
        <v>151</v>
      </c>
      <c r="I2" s="153"/>
      <c r="J2" s="153" t="s">
        <v>152</v>
      </c>
      <c r="K2" s="153"/>
    </row>
    <row r="3" spans="1:11" ht="38.25" x14ac:dyDescent="0.25">
      <c r="A3" s="153"/>
      <c r="B3" s="153"/>
      <c r="C3" s="153"/>
      <c r="D3" s="153"/>
      <c r="E3" s="153"/>
      <c r="F3" s="25" t="s">
        <v>153</v>
      </c>
      <c r="G3" s="26" t="s">
        <v>148</v>
      </c>
      <c r="H3" s="25" t="s">
        <v>153</v>
      </c>
      <c r="I3" s="26" t="s">
        <v>148</v>
      </c>
      <c r="J3" s="25" t="s">
        <v>153</v>
      </c>
      <c r="K3" s="26" t="s">
        <v>148</v>
      </c>
    </row>
    <row r="4" spans="1:11" x14ac:dyDescent="0.25">
      <c r="A4" s="26">
        <v>1</v>
      </c>
      <c r="B4" s="26">
        <v>3</v>
      </c>
      <c r="C4" s="26">
        <v>4</v>
      </c>
      <c r="D4" s="26">
        <v>5</v>
      </c>
      <c r="E4" s="26">
        <v>6</v>
      </c>
      <c r="F4" s="26">
        <v>7</v>
      </c>
      <c r="G4" s="26">
        <v>8</v>
      </c>
      <c r="H4" s="26">
        <v>9</v>
      </c>
      <c r="I4" s="26">
        <v>10</v>
      </c>
      <c r="J4" s="25">
        <v>11</v>
      </c>
      <c r="K4" s="26">
        <v>12</v>
      </c>
    </row>
    <row r="5" spans="1:11" ht="25.5" x14ac:dyDescent="0.25">
      <c r="A5" s="25" t="s">
        <v>154</v>
      </c>
      <c r="B5" s="27" t="s">
        <v>155</v>
      </c>
      <c r="C5" s="27" t="s">
        <v>155</v>
      </c>
      <c r="D5" s="27" t="s">
        <v>155</v>
      </c>
      <c r="E5" s="27" t="s">
        <v>155</v>
      </c>
      <c r="F5" s="27" t="s">
        <v>155</v>
      </c>
      <c r="G5" s="27" t="s">
        <v>155</v>
      </c>
      <c r="H5" s="27" t="s">
        <v>155</v>
      </c>
      <c r="I5" s="27" t="s">
        <v>155</v>
      </c>
      <c r="J5" s="27" t="s">
        <v>155</v>
      </c>
      <c r="K5" s="27" t="s">
        <v>155</v>
      </c>
    </row>
    <row r="6" spans="1:11" ht="25.5" x14ac:dyDescent="0.25">
      <c r="A6" s="25" t="s">
        <v>156</v>
      </c>
      <c r="B6" s="27" t="s">
        <v>155</v>
      </c>
      <c r="C6" s="27" t="s">
        <v>155</v>
      </c>
      <c r="D6" s="27" t="s">
        <v>155</v>
      </c>
      <c r="E6" s="27" t="s">
        <v>155</v>
      </c>
      <c r="F6" s="27" t="s">
        <v>155</v>
      </c>
      <c r="G6" s="27" t="s">
        <v>155</v>
      </c>
      <c r="H6" s="27" t="s">
        <v>155</v>
      </c>
      <c r="I6" s="27" t="s">
        <v>155</v>
      </c>
      <c r="J6" s="27" t="s">
        <v>155</v>
      </c>
      <c r="K6" s="27" t="s">
        <v>155</v>
      </c>
    </row>
    <row r="7" spans="1:11" ht="25.5" x14ac:dyDescent="0.25">
      <c r="A7" s="25" t="s">
        <v>157</v>
      </c>
      <c r="B7" s="27" t="s">
        <v>155</v>
      </c>
      <c r="C7" s="27" t="s">
        <v>155</v>
      </c>
      <c r="D7" s="27" t="s">
        <v>155</v>
      </c>
      <c r="E7" s="27" t="s">
        <v>155</v>
      </c>
      <c r="F7" s="27" t="s">
        <v>155</v>
      </c>
      <c r="G7" s="27" t="s">
        <v>155</v>
      </c>
      <c r="H7" s="27" t="s">
        <v>155</v>
      </c>
      <c r="I7" s="27" t="s">
        <v>155</v>
      </c>
      <c r="J7" s="27" t="s">
        <v>155</v>
      </c>
      <c r="K7" s="27" t="s">
        <v>155</v>
      </c>
    </row>
    <row r="8" spans="1:11" ht="25.5" x14ac:dyDescent="0.25">
      <c r="A8" s="28" t="s">
        <v>158</v>
      </c>
      <c r="B8" s="29">
        <f>табл_1!C15</f>
        <v>586</v>
      </c>
      <c r="C8" s="29">
        <f>табл_1!C16</f>
        <v>586</v>
      </c>
      <c r="D8" s="29">
        <f>табл_1!D15</f>
        <v>586</v>
      </c>
      <c r="E8" s="29">
        <f>табл_1!D16</f>
        <v>586</v>
      </c>
      <c r="F8" s="29">
        <f>табл_1!L15</f>
        <v>15</v>
      </c>
      <c r="G8" s="29">
        <f>табл_1!L16</f>
        <v>15</v>
      </c>
      <c r="H8" s="29">
        <f>табл_1!X15</f>
        <v>15</v>
      </c>
      <c r="I8" s="29">
        <f>табл_1!X16</f>
        <v>15</v>
      </c>
      <c r="J8" s="29">
        <f>табл_1!Y15</f>
        <v>15</v>
      </c>
      <c r="K8" s="29">
        <f>табл_1!Y16</f>
        <v>15</v>
      </c>
    </row>
    <row r="9" spans="1:11" ht="76.5" x14ac:dyDescent="0.25">
      <c r="A9" s="28" t="s">
        <v>159</v>
      </c>
      <c r="B9" s="29">
        <f>табл_1!C11</f>
        <v>295</v>
      </c>
      <c r="C9" s="29">
        <f>табл_1!C12</f>
        <v>295</v>
      </c>
      <c r="D9" s="29">
        <f>табл_1!D11</f>
        <v>295</v>
      </c>
      <c r="E9" s="29">
        <f>табл_1!D12</f>
        <v>295</v>
      </c>
      <c r="F9" s="29">
        <f>табл_1!L11</f>
        <v>0</v>
      </c>
      <c r="G9" s="29">
        <f>табл_1!L12</f>
        <v>0</v>
      </c>
      <c r="H9" s="30">
        <f>табл_1!X11</f>
        <v>0</v>
      </c>
      <c r="I9" s="30">
        <f>табл_1!X12</f>
        <v>0</v>
      </c>
      <c r="J9" s="30">
        <f>табл_1!Y11</f>
        <v>0</v>
      </c>
      <c r="K9" s="30">
        <f>табл_1!Y12</f>
        <v>0</v>
      </c>
    </row>
    <row r="10" spans="1:11" ht="25.5" x14ac:dyDescent="0.25">
      <c r="A10" s="28" t="s">
        <v>160</v>
      </c>
      <c r="B10" s="29">
        <f>табл_1!C13</f>
        <v>291</v>
      </c>
      <c r="C10" s="29">
        <f>табл_1!C14</f>
        <v>291</v>
      </c>
      <c r="D10" s="29">
        <f>табл_1!D13</f>
        <v>291</v>
      </c>
      <c r="E10" s="29">
        <f>табл_1!D14</f>
        <v>291</v>
      </c>
      <c r="F10" s="29">
        <f>табл_1!L13</f>
        <v>15</v>
      </c>
      <c r="G10" s="29">
        <f>табл_1!L14</f>
        <v>15</v>
      </c>
      <c r="H10" s="30">
        <f>табл_1!X13</f>
        <v>15</v>
      </c>
      <c r="I10" s="29">
        <f>табл_1!X14</f>
        <v>15</v>
      </c>
      <c r="J10" s="30">
        <f>табл_1!Y13</f>
        <v>15</v>
      </c>
      <c r="K10" s="29">
        <f>табл_1!Y14</f>
        <v>15</v>
      </c>
    </row>
    <row r="11" spans="1:1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32"/>
    </row>
  </sheetData>
  <sheetProtection password="DB70" sheet="1" objects="1" scenarios="1" autoFilter="0"/>
  <mergeCells count="8">
    <mergeCell ref="H2:I2"/>
    <mergeCell ref="J2:K2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20"/>
  <sheetViews>
    <sheetView workbookViewId="0">
      <selection activeCell="B6" sqref="B6"/>
    </sheetView>
  </sheetViews>
  <sheetFormatPr defaultRowHeight="15" x14ac:dyDescent="0.25"/>
  <cols>
    <col min="1" max="1" width="50" customWidth="1"/>
    <col min="2" max="2" width="12.7109375" customWidth="1"/>
    <col min="3" max="3" width="13" customWidth="1"/>
    <col min="4" max="4" width="72" customWidth="1"/>
    <col min="5" max="5" width="18.140625" hidden="1" customWidth="1"/>
    <col min="6" max="6" width="47.140625" bestFit="1" customWidth="1"/>
    <col min="7" max="20" width="0" hidden="1" customWidth="1"/>
  </cols>
  <sheetData>
    <row r="1" spans="1:20" ht="15.75" customHeight="1" x14ac:dyDescent="0.25">
      <c r="A1" s="33" t="s">
        <v>161</v>
      </c>
      <c r="B1" s="94" t="b">
        <f>AND(табл_1!D3&lt;&gt;"",табл_1!D5&lt;&gt;"",табл_1!E5&lt;&gt;"",табл_1!F5&lt;&gt;"",табл_1!C20&lt;&gt;"",табл_1!C21&lt;&gt;"",табл_1!C22&lt;&gt;"")</f>
        <v>1</v>
      </c>
    </row>
    <row r="2" spans="1:20" ht="39" x14ac:dyDescent="0.25">
      <c r="A2" s="102" t="s">
        <v>200</v>
      </c>
      <c r="B2" s="102" t="s">
        <v>153</v>
      </c>
      <c r="C2" s="102" t="s">
        <v>148</v>
      </c>
      <c r="D2" s="155" t="s">
        <v>105</v>
      </c>
      <c r="E2" s="121" t="s">
        <v>82</v>
      </c>
      <c r="F2" s="154" t="s">
        <v>83</v>
      </c>
    </row>
    <row r="3" spans="1:20" ht="15" customHeight="1" x14ac:dyDescent="0.25">
      <c r="A3" s="99">
        <v>1</v>
      </c>
      <c r="B3" s="99">
        <v>3</v>
      </c>
      <c r="C3" s="99">
        <v>4</v>
      </c>
      <c r="D3" s="155"/>
      <c r="E3" s="121"/>
      <c r="F3" s="154"/>
    </row>
    <row r="4" spans="1:20" ht="38.25" x14ac:dyDescent="0.25">
      <c r="A4" s="98" t="s">
        <v>162</v>
      </c>
      <c r="B4" s="97">
        <f>табл_1!V15</f>
        <v>15</v>
      </c>
      <c r="C4" s="97">
        <f>табл_1!V16</f>
        <v>15</v>
      </c>
      <c r="D4" s="83" t="str">
        <f>IF(H4&gt;0,E4&amp;" по строке «"&amp;G4&amp;"»","ОК")</f>
        <v>ОК</v>
      </c>
      <c r="E4" s="89" t="s">
        <v>204</v>
      </c>
      <c r="F4" s="90" t="s">
        <v>203</v>
      </c>
      <c r="G4" s="91" t="str">
        <f t="shared" ref="G4" si="0">IF(H4&gt;0,INDEX($B$2:$C$2,1,H4),CHAR(151))</f>
        <v>—</v>
      </c>
      <c r="H4" s="92">
        <f t="shared" ref="H4" si="1">IFERROR(MATCH(FALSE,I4:J4,0),0)</f>
        <v>0</v>
      </c>
      <c r="I4" s="93" t="b">
        <f>B12&lt;=B10</f>
        <v>1</v>
      </c>
      <c r="J4" s="93" t="b">
        <f>C12&lt;=C10</f>
        <v>1</v>
      </c>
    </row>
    <row r="5" spans="1:20" ht="38.25" customHeight="1" x14ac:dyDescent="0.25">
      <c r="A5" s="100" t="s">
        <v>163</v>
      </c>
      <c r="B5" s="97">
        <f>табл_1!V13</f>
        <v>15</v>
      </c>
      <c r="C5" s="97">
        <f>табл_1!V14</f>
        <v>15</v>
      </c>
      <c r="D5" s="119" t="str">
        <f>IF(H5&gt;0,E5&amp;" по строке «"&amp;G5&amp;"»","ОК")</f>
        <v>ОК</v>
      </c>
      <c r="E5" s="89" t="s">
        <v>205</v>
      </c>
      <c r="F5" s="90" t="s">
        <v>201</v>
      </c>
      <c r="G5" s="91" t="str">
        <f>IF(H5&gt;0,INDEX($A$4:$A$15,H5,1),CHAR(151))</f>
        <v>—</v>
      </c>
      <c r="H5" s="92">
        <f>IFERROR(MATCH(FALSE,I5:T5,0),0)</f>
        <v>0</v>
      </c>
      <c r="I5" s="93" t="b">
        <f>$C4&lt;=$B4</f>
        <v>1</v>
      </c>
      <c r="J5" s="93" t="b">
        <f>$C5&lt;=$B5</f>
        <v>1</v>
      </c>
      <c r="K5" s="93" t="b">
        <f>$C6&lt;=$B6</f>
        <v>1</v>
      </c>
      <c r="L5" s="93" t="b">
        <f>$C7&lt;=$B7</f>
        <v>1</v>
      </c>
      <c r="M5" s="93" t="b">
        <f>$C8&lt;=$B8</f>
        <v>1</v>
      </c>
      <c r="N5" s="93" t="b">
        <f>$C9&lt;=$B9</f>
        <v>1</v>
      </c>
      <c r="O5" s="93" t="b">
        <f>$C10&lt;=$B10</f>
        <v>1</v>
      </c>
      <c r="P5" s="93" t="b">
        <f>$C11&lt;=$B11</f>
        <v>1</v>
      </c>
      <c r="Q5" s="93" t="b">
        <f>$C12&lt;=$B12</f>
        <v>1</v>
      </c>
      <c r="R5" s="93" t="b">
        <f>$C13&lt;=$B13</f>
        <v>1</v>
      </c>
      <c r="S5" s="93" t="b">
        <f>$C14&lt;=$B14</f>
        <v>1</v>
      </c>
      <c r="T5" s="93" t="b">
        <f>$C15&lt;=$B15</f>
        <v>1</v>
      </c>
    </row>
    <row r="6" spans="1:20" ht="38.25" x14ac:dyDescent="0.25">
      <c r="A6" s="101" t="s">
        <v>164</v>
      </c>
      <c r="B6" s="95"/>
      <c r="C6" s="95"/>
      <c r="D6" s="83" t="str">
        <f>IF(H6&gt;0,E6&amp;" по строке «"&amp;G6&amp;"»","ОК")</f>
        <v>ОК</v>
      </c>
      <c r="E6" s="89" t="s">
        <v>206</v>
      </c>
      <c r="F6" s="90" t="s">
        <v>165</v>
      </c>
      <c r="G6" s="91" t="str">
        <f t="shared" ref="G6:G15" si="2">IF(H6&gt;0,INDEX($B$2:$C$2,1,H6),CHAR(151))</f>
        <v>—</v>
      </c>
      <c r="H6" s="92">
        <f t="shared" ref="H6:H15" si="3">IFERROR(MATCH(FALSE,I6:J6,0),0)</f>
        <v>0</v>
      </c>
      <c r="I6" s="93" t="b">
        <f>B6&lt;=B4</f>
        <v>1</v>
      </c>
      <c r="J6" s="93" t="b">
        <f>C6&lt;=C4</f>
        <v>1</v>
      </c>
    </row>
    <row r="7" spans="1:20" ht="31.5" customHeight="1" x14ac:dyDescent="0.25">
      <c r="A7" s="98" t="s">
        <v>166</v>
      </c>
      <c r="B7" s="96"/>
      <c r="C7" s="96"/>
      <c r="D7" s="83" t="str">
        <f t="shared" ref="D7:D20" si="4">IF(H7&gt;0,E7&amp;" по строке «"&amp;G7&amp;"»","ОК")</f>
        <v>ОК</v>
      </c>
      <c r="E7" s="89" t="s">
        <v>207</v>
      </c>
      <c r="F7" s="90" t="s">
        <v>167</v>
      </c>
      <c r="G7" s="91" t="str">
        <f t="shared" si="2"/>
        <v>—</v>
      </c>
      <c r="H7" s="92">
        <f t="shared" si="3"/>
        <v>0</v>
      </c>
      <c r="I7" s="93" t="b">
        <f>B7&lt;=B5</f>
        <v>1</v>
      </c>
      <c r="J7" s="93" t="b">
        <f>C7&lt;=C5</f>
        <v>1</v>
      </c>
    </row>
    <row r="8" spans="1:20" ht="31.5" customHeight="1" x14ac:dyDescent="0.25">
      <c r="A8" s="100" t="s">
        <v>168</v>
      </c>
      <c r="B8" s="96"/>
      <c r="C8" s="96"/>
      <c r="D8" s="83" t="str">
        <f t="shared" si="4"/>
        <v>ОК</v>
      </c>
      <c r="E8" s="89" t="s">
        <v>208</v>
      </c>
      <c r="F8" s="90" t="s">
        <v>169</v>
      </c>
      <c r="G8" s="91" t="str">
        <f t="shared" si="2"/>
        <v>—</v>
      </c>
      <c r="H8" s="92">
        <f t="shared" si="3"/>
        <v>0</v>
      </c>
      <c r="I8" s="93" t="b">
        <f>B8&lt;=B4</f>
        <v>1</v>
      </c>
      <c r="J8" s="93" t="b">
        <f>C8&lt;=C4</f>
        <v>1</v>
      </c>
    </row>
    <row r="9" spans="1:20" ht="31.5" customHeight="1" x14ac:dyDescent="0.25">
      <c r="A9" s="98" t="s">
        <v>166</v>
      </c>
      <c r="B9" s="96"/>
      <c r="C9" s="96"/>
      <c r="D9" s="83" t="str">
        <f t="shared" si="4"/>
        <v>ОК</v>
      </c>
      <c r="E9" s="89" t="s">
        <v>209</v>
      </c>
      <c r="F9" s="90" t="s">
        <v>170</v>
      </c>
      <c r="G9" s="91" t="str">
        <f t="shared" si="2"/>
        <v>—</v>
      </c>
      <c r="H9" s="92">
        <f t="shared" si="3"/>
        <v>0</v>
      </c>
      <c r="I9" s="93" t="b">
        <f>B9&lt;=B5</f>
        <v>1</v>
      </c>
      <c r="J9" s="93" t="b">
        <f>C9&lt;=C5</f>
        <v>1</v>
      </c>
    </row>
    <row r="10" spans="1:20" ht="31.5" customHeight="1" x14ac:dyDescent="0.25">
      <c r="A10" s="98" t="s">
        <v>171</v>
      </c>
      <c r="B10" s="96"/>
      <c r="C10" s="96"/>
      <c r="D10" s="83" t="str">
        <f t="shared" si="4"/>
        <v>ОК</v>
      </c>
      <c r="E10" s="89" t="s">
        <v>210</v>
      </c>
      <c r="F10" s="90" t="s">
        <v>172</v>
      </c>
      <c r="G10" s="91" t="str">
        <f t="shared" si="2"/>
        <v>—</v>
      </c>
      <c r="H10" s="92">
        <f t="shared" si="3"/>
        <v>0</v>
      </c>
      <c r="I10" s="93" t="b">
        <f>B10&lt;=B4</f>
        <v>1</v>
      </c>
      <c r="J10" s="93" t="b">
        <f>C10&lt;=C4</f>
        <v>1</v>
      </c>
    </row>
    <row r="11" spans="1:20" ht="31.5" customHeight="1" x14ac:dyDescent="0.25">
      <c r="A11" s="98" t="s">
        <v>173</v>
      </c>
      <c r="B11" s="96"/>
      <c r="C11" s="96"/>
      <c r="D11" s="83" t="str">
        <f t="shared" si="4"/>
        <v>ОК</v>
      </c>
      <c r="E11" s="89" t="s">
        <v>211</v>
      </c>
      <c r="F11" s="90" t="s">
        <v>174</v>
      </c>
      <c r="G11" s="91" t="str">
        <f t="shared" si="2"/>
        <v>—</v>
      </c>
      <c r="H11" s="92">
        <f t="shared" si="3"/>
        <v>0</v>
      </c>
      <c r="I11" s="93" t="b">
        <f>B11&lt;=B5</f>
        <v>1</v>
      </c>
      <c r="J11" s="93" t="b">
        <f>C11&lt;=C5</f>
        <v>1</v>
      </c>
    </row>
    <row r="12" spans="1:20" ht="31.5" customHeight="1" x14ac:dyDescent="0.25">
      <c r="A12" s="98" t="s">
        <v>175</v>
      </c>
      <c r="B12" s="96"/>
      <c r="C12" s="96"/>
      <c r="D12" s="83" t="str">
        <f t="shared" si="4"/>
        <v>ОК</v>
      </c>
      <c r="E12" s="89" t="s">
        <v>212</v>
      </c>
      <c r="F12" s="90" t="s">
        <v>176</v>
      </c>
      <c r="G12" s="91" t="str">
        <f t="shared" si="2"/>
        <v>—</v>
      </c>
      <c r="H12" s="92">
        <f t="shared" si="3"/>
        <v>0</v>
      </c>
      <c r="I12" s="93" t="b">
        <f>B12&lt;=B4</f>
        <v>1</v>
      </c>
      <c r="J12" s="93" t="b">
        <f>C12&lt;=C4</f>
        <v>1</v>
      </c>
    </row>
    <row r="13" spans="1:20" ht="31.5" customHeight="1" x14ac:dyDescent="0.25">
      <c r="A13" s="98" t="s">
        <v>173</v>
      </c>
      <c r="B13" s="96"/>
      <c r="C13" s="96"/>
      <c r="D13" s="83" t="str">
        <f t="shared" si="4"/>
        <v>ОК</v>
      </c>
      <c r="E13" s="89" t="s">
        <v>213</v>
      </c>
      <c r="F13" s="90" t="s">
        <v>177</v>
      </c>
      <c r="G13" s="91" t="str">
        <f t="shared" si="2"/>
        <v>—</v>
      </c>
      <c r="H13" s="92">
        <f t="shared" si="3"/>
        <v>0</v>
      </c>
      <c r="I13" s="93" t="b">
        <f>B13&lt;=B5</f>
        <v>1</v>
      </c>
      <c r="J13" s="93" t="b">
        <f>C13&lt;=C5</f>
        <v>1</v>
      </c>
    </row>
    <row r="14" spans="1:20" ht="31.5" customHeight="1" x14ac:dyDescent="0.25">
      <c r="A14" s="98" t="s">
        <v>178</v>
      </c>
      <c r="B14" s="96"/>
      <c r="C14" s="96"/>
      <c r="D14" s="83" t="str">
        <f t="shared" si="4"/>
        <v>ОК</v>
      </c>
      <c r="E14" s="89" t="s">
        <v>214</v>
      </c>
      <c r="F14" s="90" t="s">
        <v>179</v>
      </c>
      <c r="G14" s="91" t="str">
        <f t="shared" si="2"/>
        <v>—</v>
      </c>
      <c r="H14" s="92">
        <f t="shared" si="3"/>
        <v>0</v>
      </c>
      <c r="I14" s="93" t="b">
        <f>B14&lt;=B4</f>
        <v>1</v>
      </c>
      <c r="J14" s="93" t="b">
        <f>C14&lt;=C4</f>
        <v>1</v>
      </c>
    </row>
    <row r="15" spans="1:20" ht="31.5" customHeight="1" x14ac:dyDescent="0.25">
      <c r="A15" s="100" t="s">
        <v>180</v>
      </c>
      <c r="B15" s="96"/>
      <c r="C15" s="96"/>
      <c r="D15" s="83" t="str">
        <f t="shared" si="4"/>
        <v>ОК</v>
      </c>
      <c r="E15" s="89" t="s">
        <v>215</v>
      </c>
      <c r="F15" s="90" t="s">
        <v>181</v>
      </c>
      <c r="G15" s="91" t="str">
        <f t="shared" si="2"/>
        <v>—</v>
      </c>
      <c r="H15" s="92">
        <f t="shared" si="3"/>
        <v>0</v>
      </c>
      <c r="I15" s="93" t="b">
        <f>B15&lt;=B5</f>
        <v>1</v>
      </c>
      <c r="J15" s="93" t="b">
        <f>C15&lt;=C5</f>
        <v>1</v>
      </c>
    </row>
    <row r="16" spans="1:20" ht="31.5" customHeight="1" x14ac:dyDescent="0.25">
      <c r="D16" s="83" t="str">
        <f t="shared" si="4"/>
        <v>ОК</v>
      </c>
      <c r="E16" s="89" t="s">
        <v>216</v>
      </c>
      <c r="F16" s="90" t="s">
        <v>217</v>
      </c>
      <c r="G16" s="91" t="str">
        <f t="shared" ref="G16:G20" si="5">IF(H16&gt;0,INDEX($B$2:$C$2,1,H16),CHAR(151))</f>
        <v>—</v>
      </c>
      <c r="H16" s="92">
        <f t="shared" ref="H16:H20" si="6">IFERROR(MATCH(FALSE,I16:J16,0),0)</f>
        <v>0</v>
      </c>
      <c r="I16" s="93" t="b">
        <f>B7&lt;=B6</f>
        <v>1</v>
      </c>
      <c r="J16" s="93" t="b">
        <f>C7&lt;=C6</f>
        <v>1</v>
      </c>
    </row>
    <row r="17" spans="4:10" ht="31.5" customHeight="1" x14ac:dyDescent="0.25">
      <c r="D17" s="83" t="str">
        <f t="shared" si="4"/>
        <v>ОК</v>
      </c>
      <c r="E17" s="89" t="s">
        <v>218</v>
      </c>
      <c r="F17" s="90" t="s">
        <v>219</v>
      </c>
      <c r="G17" s="91" t="str">
        <f t="shared" si="5"/>
        <v>—</v>
      </c>
      <c r="H17" s="92">
        <f t="shared" si="6"/>
        <v>0</v>
      </c>
      <c r="I17" s="93" t="b">
        <f>B9&lt;=B8</f>
        <v>1</v>
      </c>
      <c r="J17" s="93" t="b">
        <f>C9&lt;=C8</f>
        <v>1</v>
      </c>
    </row>
    <row r="18" spans="4:10" ht="31.5" customHeight="1" x14ac:dyDescent="0.25">
      <c r="D18" s="83" t="str">
        <f t="shared" si="4"/>
        <v>ОК</v>
      </c>
      <c r="E18" s="89" t="s">
        <v>220</v>
      </c>
      <c r="F18" s="90" t="s">
        <v>221</v>
      </c>
      <c r="G18" s="91" t="str">
        <f t="shared" si="5"/>
        <v>—</v>
      </c>
      <c r="H18" s="92">
        <f t="shared" si="6"/>
        <v>0</v>
      </c>
      <c r="I18" s="93" t="b">
        <f>B11&lt;=B10</f>
        <v>1</v>
      </c>
      <c r="J18" s="93" t="b">
        <f>C11&lt;=C10</f>
        <v>1</v>
      </c>
    </row>
    <row r="19" spans="4:10" ht="31.5" customHeight="1" x14ac:dyDescent="0.25">
      <c r="D19" s="83" t="str">
        <f t="shared" si="4"/>
        <v>ОК</v>
      </c>
      <c r="E19" s="89" t="s">
        <v>222</v>
      </c>
      <c r="F19" s="90" t="s">
        <v>223</v>
      </c>
      <c r="G19" s="91" t="str">
        <f t="shared" si="5"/>
        <v>—</v>
      </c>
      <c r="H19" s="92">
        <f t="shared" si="6"/>
        <v>0</v>
      </c>
      <c r="I19" s="93" t="b">
        <f>B13&lt;=B12</f>
        <v>1</v>
      </c>
      <c r="J19" s="93" t="b">
        <f>C13&lt;=C12</f>
        <v>1</v>
      </c>
    </row>
    <row r="20" spans="4:10" ht="31.5" customHeight="1" x14ac:dyDescent="0.25">
      <c r="D20" s="83" t="str">
        <f t="shared" si="4"/>
        <v>ОК</v>
      </c>
      <c r="E20" s="89" t="s">
        <v>224</v>
      </c>
      <c r="F20" s="90" t="s">
        <v>225</v>
      </c>
      <c r="G20" s="91" t="str">
        <f t="shared" si="5"/>
        <v>—</v>
      </c>
      <c r="H20" s="92">
        <f t="shared" si="6"/>
        <v>0</v>
      </c>
      <c r="I20" s="93" t="b">
        <f>B15&lt;=B14</f>
        <v>1</v>
      </c>
      <c r="J20" s="93" t="b">
        <f>C15&lt;=C14</f>
        <v>1</v>
      </c>
    </row>
  </sheetData>
  <sheetProtection password="DB70" sheet="1" objects="1" scenarios="1" autoFilter="0"/>
  <mergeCells count="3">
    <mergeCell ref="E2:E3"/>
    <mergeCell ref="F2:F3"/>
    <mergeCell ref="D2:D3"/>
  </mergeCells>
  <conditionalFormatting sqref="D6">
    <cfRule type="expression" dxfId="4" priority="5" stopIfTrue="1">
      <formula>D6&lt;&gt;"ОК"</formula>
    </cfRule>
  </conditionalFormatting>
  <conditionalFormatting sqref="D7:D15">
    <cfRule type="expression" dxfId="3" priority="4" stopIfTrue="1">
      <formula>D7&lt;&gt;"ОК"</formula>
    </cfRule>
  </conditionalFormatting>
  <conditionalFormatting sqref="D5">
    <cfRule type="expression" dxfId="2" priority="3" stopIfTrue="1">
      <formula>D5&lt;&gt;"ОК"</formula>
    </cfRule>
  </conditionalFormatting>
  <conditionalFormatting sqref="D4">
    <cfRule type="expression" dxfId="1" priority="2" stopIfTrue="1">
      <formula>D4&lt;&gt;"ОК"</formula>
    </cfRule>
  </conditionalFormatting>
  <conditionalFormatting sqref="D16:D20">
    <cfRule type="expression" dxfId="0" priority="1" stopIfTrue="1">
      <formula>D16&lt;&gt;"ОК"</formula>
    </cfRule>
  </conditionalFormatting>
  <dataValidations count="1">
    <dataValidation type="custom" showInputMessage="1" showErrorMessage="1" errorTitle="В Н И М А Н И Е!" error="Перед заполнением таблицы НУЖНО ВНАЧАЛЕ ЗАПОЛНИТЬ:_x000a_1) название организации;_x000a_2) число; месяц; год;_x000a_3) ФИО руководителя, исполнителя;_x000a_4) телефон исполнителя._x000a__x000a_=  А ТАКЖЕ  ==_x000a__x000a_В ЭТУ ЯЧЕЙКУ МОЖНО ВВЕСТИ ТОЛЬКО ЦЕЛОЕ ЧИСЛО &gt;= 0._x000a_" sqref="B6:C15">
      <formula1>AND($B$1&lt;&gt;"",ISNUMBER(B6),B6&gt;=0,IF(ISERROR(SEARCH(",?",B6)),0,1)=0)</formula1>
    </dataValidation>
  </dataValidations>
  <pageMargins left="0.7" right="0.7" top="0.75" bottom="0.75" header="0.3" footer="0.3"/>
  <ignoredErrors>
    <ignoredError sqref="H5:I5 G5 I16:J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табл_1</vt:lpstr>
      <vt:lpstr>табл.2511</vt:lpstr>
      <vt:lpstr>табл.2517</vt:lpstr>
      <vt:lpstr>Год</vt:lpstr>
      <vt:lpstr>Месяц</vt:lpstr>
      <vt:lpstr>Названия_организаций</vt:lpstr>
      <vt:lpstr>табл_1!Область_печати</vt:lpstr>
      <vt:lpstr>Число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Александрович Черников</dc:creator>
  <cp:lastModifiedBy>ZavOrgMetod</cp:lastModifiedBy>
  <cp:lastPrinted>2024-06-07T09:58:35Z</cp:lastPrinted>
  <dcterms:created xsi:type="dcterms:W3CDTF">2006-09-16T00:00:00Z</dcterms:created>
  <dcterms:modified xsi:type="dcterms:W3CDTF">2024-12-24T06:15:50Z</dcterms:modified>
</cp:coreProperties>
</file>